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4e46a60d8962462/Dokument/Jakt/Halasjö ÄSO/Älgsköltselplan/"/>
    </mc:Choice>
  </mc:AlternateContent>
  <xr:revisionPtr revIDLastSave="261" documentId="8_{E4BFB96A-252F-4F69-9C9D-938A4672B566}" xr6:coauthVersionLast="47" xr6:coauthVersionMax="47" xr10:uidLastSave="{F3CADD52-44D7-472A-9C3A-43C6656532D7}"/>
  <workbookProtection workbookPassword="CD3C" lockStructure="1"/>
  <bookViews>
    <workbookView xWindow="-120" yWindow="-120" windowWidth="29040" windowHeight="15720" activeTab="3" xr2:uid="{00000000-000D-0000-FFFF-FFFF00000000}"/>
  </bookViews>
  <sheets>
    <sheet name="Förutsättningar" sheetId="15" r:id="rId1"/>
    <sheet name="NFS 2011-7" sheetId="13" r:id="rId2"/>
    <sheet name="Ärendekort" sheetId="26" r:id="rId3"/>
    <sheet name="Skötselplan" sheetId="1" r:id="rId4"/>
    <sheet name="Faktorer" sheetId="16" state="hidden" r:id="rId5"/>
    <sheet name="Utdata" sheetId="17" state="hidden" r:id="rId6"/>
    <sheet name="Beräkning avskjutning" sheetId="24" state="hidden" r:id="rId7"/>
    <sheet name="SourceData" sheetId="25" state="hidden" r:id="rId8"/>
    <sheet name="2.1.1 Avskjutning" sheetId="10" r:id="rId9"/>
    <sheet name="2.1.2 Älgobs" sheetId="11" r:id="rId10"/>
    <sheet name="2.1.3 Spillningsinventering" sheetId="18" r:id="rId11"/>
    <sheet name="2.1.4 Kalvvikter" sheetId="14" r:id="rId12"/>
    <sheet name="2.2.1 Äbin" sheetId="12" r:id="rId13"/>
    <sheet name="Sammanst spillinv ÄFO" sheetId="22" state="hidden" r:id="rId14"/>
  </sheets>
  <externalReferences>
    <externalReference r:id="rId15"/>
    <externalReference r:id="rId16"/>
  </externalReferences>
  <definedNames>
    <definedName name="_xlnm._FilterDatabase" localSheetId="4" hidden="1">Faktorer!$H$19:$H$168</definedName>
    <definedName name="Inventeringsobjekt" localSheetId="13">[1]Faktorer!$C$3:$C$7</definedName>
    <definedName name="Inventeringsobjekt">Faktorer!$C$3:$C$7</definedName>
    <definedName name="Sammanst_spillinv_ny" localSheetId="2">[2]Faktorer!$C$3:$C$7</definedName>
    <definedName name="Sammanst_spillinv_ny">[1]Faktorer!$C$3:$C$7</definedName>
    <definedName name="Skogstillstånd" localSheetId="13">[1]Faktorer!$D$3:$D$8</definedName>
    <definedName name="Skogstillstånd">Faktorer!$D$3:$D$8</definedName>
    <definedName name="_xlnm.Print_Area" localSheetId="6">'Beräkning avskjutning'!$A$1:$K$196</definedName>
    <definedName name="_xlnm.Print_Area" localSheetId="3">Skötselplan!$A$1:$H$389</definedName>
    <definedName name="Välj">Faktorer!$C$5:$C$7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7" i="1" l="1"/>
  <c r="A2" i="17" l="1"/>
  <c r="B84" i="1"/>
  <c r="B6" i="24" s="1"/>
  <c r="B14" i="24" s="1"/>
  <c r="C55" i="1"/>
  <c r="C14" i="1"/>
  <c r="F14" i="1" s="1"/>
  <c r="AF2" i="17" s="1"/>
  <c r="J2" i="17"/>
  <c r="B57" i="1"/>
  <c r="D54" i="1" s="1"/>
  <c r="B212" i="1"/>
  <c r="B8" i="24"/>
  <c r="C8" i="24"/>
  <c r="D8" i="24"/>
  <c r="BA2" i="17"/>
  <c r="B11" i="24"/>
  <c r="C11" i="24"/>
  <c r="D11" i="24"/>
  <c r="BC2" i="17"/>
  <c r="D30" i="24"/>
  <c r="E30" i="24"/>
  <c r="B31" i="24"/>
  <c r="H207" i="1"/>
  <c r="BI2" i="17"/>
  <c r="BJ2" i="17"/>
  <c r="D32" i="24"/>
  <c r="B116" i="1"/>
  <c r="C116" i="1"/>
  <c r="D116" i="1"/>
  <c r="E116" i="1"/>
  <c r="F116" i="1"/>
  <c r="G116" i="1"/>
  <c r="B119" i="1"/>
  <c r="C119" i="1"/>
  <c r="D119" i="1"/>
  <c r="B37" i="24" s="1"/>
  <c r="B36" i="24" s="1"/>
  <c r="E119" i="1"/>
  <c r="C37" i="24" s="1"/>
  <c r="C36" i="24" s="1"/>
  <c r="F119" i="1"/>
  <c r="D37" i="24" s="1"/>
  <c r="G119" i="1"/>
  <c r="E37" i="24" s="1"/>
  <c r="E36" i="24" s="1"/>
  <c r="B130" i="1"/>
  <c r="CI2" i="17" s="1"/>
  <c r="C130" i="1"/>
  <c r="CJ2" i="17" s="1"/>
  <c r="D130" i="1"/>
  <c r="CK2" i="17" s="1"/>
  <c r="E130" i="1"/>
  <c r="CL2" i="17" s="1"/>
  <c r="F130" i="1"/>
  <c r="CM2" i="17" s="1"/>
  <c r="B131" i="1"/>
  <c r="C131" i="1"/>
  <c r="CO2" i="17" s="1"/>
  <c r="CR2" i="17"/>
  <c r="B132" i="1"/>
  <c r="CS2" i="17" s="1"/>
  <c r="C132" i="1"/>
  <c r="CT2" i="17" s="1"/>
  <c r="CU2" i="17"/>
  <c r="B141" i="1"/>
  <c r="C141" i="1"/>
  <c r="B143" i="1"/>
  <c r="C143" i="1"/>
  <c r="B151" i="1"/>
  <c r="CX2" i="17" s="1"/>
  <c r="C151" i="1"/>
  <c r="CY2" i="17" s="1"/>
  <c r="D151" i="1"/>
  <c r="DA2" i="17"/>
  <c r="DB2" i="17"/>
  <c r="B153" i="1"/>
  <c r="DC2" i="17" s="1"/>
  <c r="C153" i="1"/>
  <c r="DE2" i="17"/>
  <c r="DF2" i="17"/>
  <c r="DG2" i="17"/>
  <c r="B162" i="1"/>
  <c r="DH2" i="17" s="1"/>
  <c r="C162" i="1"/>
  <c r="DI2" i="17" s="1"/>
  <c r="D162" i="1"/>
  <c r="DJ2" i="17" s="1"/>
  <c r="E162" i="1"/>
  <c r="F162" i="1"/>
  <c r="DL2" i="17" s="1"/>
  <c r="B207" i="1"/>
  <c r="B208" i="1"/>
  <c r="B213" i="1"/>
  <c r="B216" i="1"/>
  <c r="D221" i="1"/>
  <c r="D222" i="1"/>
  <c r="D223" i="1"/>
  <c r="B224" i="1"/>
  <c r="C221" i="1" s="1"/>
  <c r="E274" i="1"/>
  <c r="E275" i="1"/>
  <c r="G212" i="1" s="1"/>
  <c r="E276" i="1"/>
  <c r="G213" i="1" s="1"/>
  <c r="E277" i="1"/>
  <c r="G214" i="1" s="1"/>
  <c r="E278" i="1"/>
  <c r="B279" i="1"/>
  <c r="B20" i="24" s="1"/>
  <c r="C279" i="1"/>
  <c r="C20" i="24" s="1"/>
  <c r="D279" i="1"/>
  <c r="D20" i="24" s="1"/>
  <c r="E282" i="1"/>
  <c r="H212" i="1" s="1"/>
  <c r="E283" i="1"/>
  <c r="H213" i="1" s="1"/>
  <c r="E284" i="1"/>
  <c r="H214" i="1" s="1"/>
  <c r="E285" i="1"/>
  <c r="B286" i="1"/>
  <c r="B22" i="24" s="1"/>
  <c r="C286" i="1"/>
  <c r="C22" i="24" s="1"/>
  <c r="D286" i="1"/>
  <c r="D321" i="1" s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B299" i="1"/>
  <c r="D299" i="1"/>
  <c r="E299" i="1"/>
  <c r="F299" i="1"/>
  <c r="G299" i="1"/>
  <c r="D301" i="1"/>
  <c r="F212" i="1" s="1"/>
  <c r="E301" i="1"/>
  <c r="F214" i="1" s="1"/>
  <c r="F301" i="1"/>
  <c r="C173" i="24" s="1"/>
  <c r="G301" i="1"/>
  <c r="C311" i="1"/>
  <c r="D311" i="1"/>
  <c r="D312" i="1" s="1"/>
  <c r="C312" i="1"/>
  <c r="C313" i="1"/>
  <c r="C314" i="1"/>
  <c r="C315" i="1"/>
  <c r="C316" i="1"/>
  <c r="D317" i="1"/>
  <c r="A318" i="1"/>
  <c r="D318" i="1"/>
  <c r="D320" i="1"/>
  <c r="C329" i="1"/>
  <c r="B333" i="1"/>
  <c r="B335" i="1" s="1"/>
  <c r="C333" i="1"/>
  <c r="C335" i="1" s="1"/>
  <c r="D333" i="1"/>
  <c r="D337" i="1" s="1"/>
  <c r="B334" i="1"/>
  <c r="C334" i="1"/>
  <c r="D334" i="1"/>
  <c r="C337" i="1"/>
  <c r="G2" i="17"/>
  <c r="H2" i="17"/>
  <c r="I2" i="17"/>
  <c r="K2" i="17"/>
  <c r="AB2" i="17"/>
  <c r="AC2" i="17"/>
  <c r="AD2" i="17"/>
  <c r="AG2" i="17"/>
  <c r="AH2" i="17"/>
  <c r="AN2" i="17"/>
  <c r="AO2" i="17"/>
  <c r="AP2" i="17"/>
  <c r="AQ2" i="17"/>
  <c r="AR2" i="17"/>
  <c r="BG2" i="17"/>
  <c r="BK2" i="17"/>
  <c r="BL2" i="17"/>
  <c r="BM2" i="17"/>
  <c r="BN2" i="17"/>
  <c r="BO2" i="17"/>
  <c r="BP2" i="17"/>
  <c r="BQ2" i="17"/>
  <c r="BR2" i="17"/>
  <c r="BS2" i="17"/>
  <c r="BT2" i="17"/>
  <c r="BU2" i="17"/>
  <c r="BV2" i="17"/>
  <c r="BW2" i="17"/>
  <c r="BX2" i="17"/>
  <c r="BY2" i="17"/>
  <c r="BZ2" i="17"/>
  <c r="CA2" i="17"/>
  <c r="CB2" i="17"/>
  <c r="CC2" i="17"/>
  <c r="CD2" i="17"/>
  <c r="CE2" i="17"/>
  <c r="CF2" i="17"/>
  <c r="CG2" i="17"/>
  <c r="CH2" i="17"/>
  <c r="CN2" i="17"/>
  <c r="CP2" i="17"/>
  <c r="CQ2" i="17"/>
  <c r="CV2" i="17"/>
  <c r="CZ2" i="17"/>
  <c r="DD2" i="17"/>
  <c r="DK2" i="17"/>
  <c r="DM2" i="17"/>
  <c r="DN2" i="17"/>
  <c r="DO2" i="17"/>
  <c r="DP2" i="17"/>
  <c r="DQ2" i="17"/>
  <c r="DR2" i="17"/>
  <c r="DS2" i="17"/>
  <c r="DT2" i="17"/>
  <c r="DU2" i="17"/>
  <c r="DV2" i="17"/>
  <c r="DW2" i="17"/>
  <c r="DX2" i="17"/>
  <c r="DY2" i="17"/>
  <c r="DZ2" i="17"/>
  <c r="EA2" i="17"/>
  <c r="EE2" i="17"/>
  <c r="EF2" i="17"/>
  <c r="EG2" i="17"/>
  <c r="EH2" i="17"/>
  <c r="EI2" i="17"/>
  <c r="FE2" i="17"/>
  <c r="FF2" i="17"/>
  <c r="FG2" i="17"/>
  <c r="FH2" i="17"/>
  <c r="FI2" i="17"/>
  <c r="FJ2" i="17"/>
  <c r="FK2" i="17"/>
  <c r="FL2" i="17"/>
  <c r="FM2" i="17"/>
  <c r="FN2" i="17"/>
  <c r="GP2" i="17"/>
  <c r="GQ2" i="17"/>
  <c r="GR2" i="17"/>
  <c r="GS2" i="17"/>
  <c r="GV2" i="17"/>
  <c r="GW2" i="17"/>
  <c r="GX2" i="17"/>
  <c r="GY2" i="17"/>
  <c r="GZ2" i="17"/>
  <c r="HA2" i="17"/>
  <c r="HB2" i="17"/>
  <c r="HC2" i="17"/>
  <c r="HD2" i="17"/>
  <c r="HE2" i="17"/>
  <c r="HF2" i="17"/>
  <c r="HG2" i="17"/>
  <c r="HH2" i="17"/>
  <c r="HI2" i="17"/>
  <c r="HJ2" i="17"/>
  <c r="HK2" i="17"/>
  <c r="HL2" i="17"/>
  <c r="HM2" i="17"/>
  <c r="HN2" i="17"/>
  <c r="HO2" i="17"/>
  <c r="HP2" i="17"/>
  <c r="HQ2" i="17"/>
  <c r="HR2" i="17"/>
  <c r="HS2" i="17"/>
  <c r="HT2" i="17"/>
  <c r="HU2" i="17"/>
  <c r="HV2" i="17"/>
  <c r="HW2" i="17"/>
  <c r="HX2" i="17"/>
  <c r="HY2" i="17"/>
  <c r="HZ2" i="17"/>
  <c r="IA2" i="17"/>
  <c r="IB2" i="17"/>
  <c r="IC2" i="17"/>
  <c r="ID2" i="17"/>
  <c r="IE2" i="17"/>
  <c r="IF2" i="17"/>
  <c r="IG2" i="17"/>
  <c r="IH2" i="17"/>
  <c r="II2" i="17"/>
  <c r="IJ2" i="17"/>
  <c r="IK2" i="17"/>
  <c r="IL2" i="17"/>
  <c r="IM2" i="17"/>
  <c r="IN2" i="17"/>
  <c r="IO2" i="17"/>
  <c r="IP2" i="17"/>
  <c r="IQ2" i="17"/>
  <c r="IR2" i="17"/>
  <c r="IS2" i="17"/>
  <c r="IT2" i="17"/>
  <c r="IU2" i="17"/>
  <c r="IV2" i="17"/>
  <c r="IW2" i="17"/>
  <c r="IX2" i="17"/>
  <c r="IY2" i="17"/>
  <c r="IZ2" i="17"/>
  <c r="JA2" i="17"/>
  <c r="JB2" i="17"/>
  <c r="JC2" i="17"/>
  <c r="JD2" i="17"/>
  <c r="JE2" i="17"/>
  <c r="JF2" i="17"/>
  <c r="JG2" i="17"/>
  <c r="JH2" i="17"/>
  <c r="JI2" i="17"/>
  <c r="JJ2" i="17"/>
  <c r="JK2" i="17"/>
  <c r="JL2" i="17"/>
  <c r="JM2" i="17"/>
  <c r="JN2" i="17"/>
  <c r="JO2" i="17"/>
  <c r="KS2" i="17"/>
  <c r="KT2" i="17"/>
  <c r="KU2" i="17"/>
  <c r="KV2" i="17"/>
  <c r="KW2" i="17"/>
  <c r="KX2" i="17"/>
  <c r="KY2" i="17"/>
  <c r="KZ2" i="17"/>
  <c r="LA2" i="17"/>
  <c r="LB2" i="17"/>
  <c r="LC2" i="17"/>
  <c r="LD2" i="17"/>
  <c r="LI2" i="17"/>
  <c r="LJ2" i="17"/>
  <c r="LK2" i="17"/>
  <c r="LL2" i="17"/>
  <c r="LM2" i="17"/>
  <c r="LN2" i="17"/>
  <c r="LO2" i="17"/>
  <c r="LP2" i="17"/>
  <c r="LQ2" i="17"/>
  <c r="LR2" i="17"/>
  <c r="LS2" i="17"/>
  <c r="LT2" i="17"/>
  <c r="LU2" i="17"/>
  <c r="LV2" i="17"/>
  <c r="LW2" i="17"/>
  <c r="LX2" i="17"/>
  <c r="LY2" i="17"/>
  <c r="LZ2" i="17"/>
  <c r="MA2" i="17"/>
  <c r="MB2" i="17"/>
  <c r="MC2" i="17"/>
  <c r="MD2" i="17"/>
  <c r="ME2" i="17"/>
  <c r="MH2" i="17"/>
  <c r="MI2" i="17"/>
  <c r="MJ2" i="17"/>
  <c r="MK2" i="17"/>
  <c r="ML2" i="17"/>
  <c r="MM2" i="17"/>
  <c r="MN2" i="17"/>
  <c r="MO2" i="17"/>
  <c r="MP2" i="17"/>
  <c r="M6" i="24"/>
  <c r="D7" i="24"/>
  <c r="C9" i="24"/>
  <c r="M20" i="24"/>
  <c r="M21" i="24"/>
  <c r="M22" i="24"/>
  <c r="M29" i="24"/>
  <c r="D31" i="24"/>
  <c r="M36" i="24"/>
  <c r="B41" i="24"/>
  <c r="C41" i="24"/>
  <c r="D41" i="24"/>
  <c r="B42" i="24"/>
  <c r="C42" i="24"/>
  <c r="D42" i="24"/>
  <c r="B76" i="24"/>
  <c r="B164" i="24" s="1"/>
  <c r="M76" i="24"/>
  <c r="M134" i="24"/>
  <c r="M145" i="24"/>
  <c r="A152" i="24"/>
  <c r="D164" i="24" s="1"/>
  <c r="K160" i="24"/>
  <c r="E163" i="24"/>
  <c r="F163" i="24"/>
  <c r="M163" i="24"/>
  <c r="E164" i="24"/>
  <c r="F164" i="24"/>
  <c r="M164" i="24"/>
  <c r="E165" i="24"/>
  <c r="F165" i="24"/>
  <c r="E166" i="24"/>
  <c r="F166" i="24"/>
  <c r="B171" i="24"/>
  <c r="A202" i="24" s="1"/>
  <c r="E173" i="24"/>
  <c r="C176" i="24"/>
  <c r="D176" i="24"/>
  <c r="D177" i="24" s="1"/>
  <c r="E176" i="24"/>
  <c r="M176" i="24"/>
  <c r="C183" i="24"/>
  <c r="D183" i="24"/>
  <c r="D184" i="24" s="1"/>
  <c r="E183" i="24"/>
  <c r="M183" i="24"/>
  <c r="C190" i="24"/>
  <c r="D190" i="24"/>
  <c r="D191" i="24" s="1"/>
  <c r="E190" i="24"/>
  <c r="M190" i="24"/>
  <c r="E194" i="24"/>
  <c r="B207" i="24"/>
  <c r="C207" i="24"/>
  <c r="D207" i="24"/>
  <c r="M207" i="24"/>
  <c r="K3" i="22"/>
  <c r="L3" i="22"/>
  <c r="M3" i="22"/>
  <c r="N3" i="22"/>
  <c r="O3" i="22"/>
  <c r="Q3" i="22" s="1"/>
  <c r="R3" i="22"/>
  <c r="S3" i="22"/>
  <c r="K4" i="22"/>
  <c r="L4" i="22"/>
  <c r="M4" i="22"/>
  <c r="N4" i="22"/>
  <c r="O4" i="22"/>
  <c r="R4" i="22"/>
  <c r="S4" i="22"/>
  <c r="K5" i="22"/>
  <c r="L5" i="22"/>
  <c r="M5" i="22"/>
  <c r="N5" i="22"/>
  <c r="O5" i="22"/>
  <c r="R5" i="22"/>
  <c r="S5" i="22"/>
  <c r="K6" i="22"/>
  <c r="L6" i="22"/>
  <c r="M6" i="22"/>
  <c r="N6" i="22"/>
  <c r="O6" i="22"/>
  <c r="R6" i="22"/>
  <c r="S6" i="22"/>
  <c r="K7" i="22"/>
  <c r="L7" i="22"/>
  <c r="M7" i="22"/>
  <c r="N7" i="22"/>
  <c r="O7" i="22"/>
  <c r="R7" i="22"/>
  <c r="S7" i="22"/>
  <c r="K8" i="22"/>
  <c r="L8" i="22"/>
  <c r="M8" i="22"/>
  <c r="N8" i="22"/>
  <c r="O8" i="22"/>
  <c r="P8" i="22" s="1"/>
  <c r="R8" i="22"/>
  <c r="S8" i="22"/>
  <c r="K9" i="22"/>
  <c r="L9" i="22"/>
  <c r="M9" i="22"/>
  <c r="N9" i="22"/>
  <c r="O9" i="22"/>
  <c r="Q9" i="22" s="1"/>
  <c r="R9" i="22"/>
  <c r="S9" i="22"/>
  <c r="K10" i="22"/>
  <c r="L10" i="22"/>
  <c r="M10" i="22"/>
  <c r="N10" i="22"/>
  <c r="O10" i="22"/>
  <c r="R10" i="22"/>
  <c r="S10" i="22"/>
  <c r="K11" i="22"/>
  <c r="L11" i="22"/>
  <c r="M11" i="22"/>
  <c r="N11" i="22"/>
  <c r="O11" i="22"/>
  <c r="Q11" i="22" s="1"/>
  <c r="R11" i="22"/>
  <c r="S11" i="22"/>
  <c r="K12" i="22"/>
  <c r="L12" i="22"/>
  <c r="M12" i="22"/>
  <c r="N12" i="22"/>
  <c r="O12" i="22"/>
  <c r="R12" i="22"/>
  <c r="S12" i="22"/>
  <c r="F13" i="22"/>
  <c r="G13" i="22"/>
  <c r="K27" i="22"/>
  <c r="L27" i="22"/>
  <c r="M27" i="22"/>
  <c r="N27" i="22"/>
  <c r="O27" i="22"/>
  <c r="R27" i="22"/>
  <c r="S27" i="22"/>
  <c r="K28" i="22"/>
  <c r="L28" i="22"/>
  <c r="M28" i="22"/>
  <c r="N28" i="22"/>
  <c r="O28" i="22"/>
  <c r="R28" i="22"/>
  <c r="S28" i="22"/>
  <c r="K29" i="22"/>
  <c r="L29" i="22"/>
  <c r="M29" i="22"/>
  <c r="N29" i="22"/>
  <c r="O29" i="22"/>
  <c r="P29" i="22" s="1"/>
  <c r="R29" i="22"/>
  <c r="S29" i="22"/>
  <c r="K30" i="22"/>
  <c r="L30" i="22"/>
  <c r="M30" i="22"/>
  <c r="N30" i="22"/>
  <c r="O30" i="22"/>
  <c r="R30" i="22"/>
  <c r="S30" i="22"/>
  <c r="K31" i="22"/>
  <c r="L31" i="22"/>
  <c r="M31" i="22"/>
  <c r="P31" i="22" s="1"/>
  <c r="N31" i="22"/>
  <c r="O31" i="22"/>
  <c r="Q31" i="22"/>
  <c r="R31" i="22"/>
  <c r="S31" i="22"/>
  <c r="K32" i="22"/>
  <c r="L32" i="22"/>
  <c r="M32" i="22"/>
  <c r="N32" i="22"/>
  <c r="O32" i="22"/>
  <c r="R32" i="22"/>
  <c r="S32" i="22"/>
  <c r="K33" i="22"/>
  <c r="L33" i="22"/>
  <c r="M33" i="22"/>
  <c r="N33" i="22"/>
  <c r="O33" i="22"/>
  <c r="R33" i="22"/>
  <c r="S33" i="22"/>
  <c r="K34" i="22"/>
  <c r="L34" i="22"/>
  <c r="M34" i="22"/>
  <c r="P34" i="22" s="1"/>
  <c r="N34" i="22"/>
  <c r="O34" i="22"/>
  <c r="R34" i="22"/>
  <c r="S34" i="22"/>
  <c r="K35" i="22"/>
  <c r="L35" i="22"/>
  <c r="M35" i="22"/>
  <c r="P35" i="22" s="1"/>
  <c r="N35" i="22"/>
  <c r="O35" i="22"/>
  <c r="R35" i="22"/>
  <c r="S35" i="22"/>
  <c r="K36" i="22"/>
  <c r="L36" i="22"/>
  <c r="M36" i="22"/>
  <c r="N36" i="22"/>
  <c r="O36" i="22"/>
  <c r="R36" i="22"/>
  <c r="S36" i="22"/>
  <c r="F37" i="22"/>
  <c r="G37" i="22"/>
  <c r="K51" i="22"/>
  <c r="L51" i="22"/>
  <c r="M51" i="22"/>
  <c r="N51" i="22"/>
  <c r="Q51" i="22" s="1"/>
  <c r="O51" i="22"/>
  <c r="R51" i="22"/>
  <c r="S51" i="22"/>
  <c r="K52" i="22"/>
  <c r="L52" i="22"/>
  <c r="M52" i="22"/>
  <c r="P52" i="22" s="1"/>
  <c r="N52" i="22"/>
  <c r="O52" i="22"/>
  <c r="R52" i="22"/>
  <c r="S52" i="22"/>
  <c r="K53" i="22"/>
  <c r="L53" i="22"/>
  <c r="M53" i="22"/>
  <c r="N53" i="22"/>
  <c r="O53" i="22"/>
  <c r="R53" i="22"/>
  <c r="S53" i="22"/>
  <c r="K54" i="22"/>
  <c r="L54" i="22"/>
  <c r="M54" i="22"/>
  <c r="N54" i="22"/>
  <c r="O54" i="22"/>
  <c r="P54" i="22" s="1"/>
  <c r="R54" i="22"/>
  <c r="S54" i="22"/>
  <c r="K55" i="22"/>
  <c r="L55" i="22"/>
  <c r="M55" i="22"/>
  <c r="P55" i="22" s="1"/>
  <c r="N55" i="22"/>
  <c r="O55" i="22"/>
  <c r="Q55" i="22"/>
  <c r="R55" i="22"/>
  <c r="S55" i="22"/>
  <c r="K56" i="22"/>
  <c r="L56" i="22"/>
  <c r="M56" i="22"/>
  <c r="P56" i="22" s="1"/>
  <c r="N56" i="22"/>
  <c r="O56" i="22"/>
  <c r="Q56" i="22"/>
  <c r="R56" i="22"/>
  <c r="S56" i="22"/>
  <c r="K57" i="22"/>
  <c r="L57" i="22"/>
  <c r="M57" i="22"/>
  <c r="N57" i="22"/>
  <c r="O57" i="22"/>
  <c r="Q57" i="22" s="1"/>
  <c r="R57" i="22"/>
  <c r="S57" i="22"/>
  <c r="K58" i="22"/>
  <c r="L58" i="22"/>
  <c r="M58" i="22"/>
  <c r="N58" i="22"/>
  <c r="O58" i="22"/>
  <c r="R58" i="22"/>
  <c r="S58" i="22"/>
  <c r="K59" i="22"/>
  <c r="L59" i="22"/>
  <c r="M59" i="22"/>
  <c r="N59" i="22"/>
  <c r="O59" i="22"/>
  <c r="R59" i="22"/>
  <c r="S59" i="22"/>
  <c r="K60" i="22"/>
  <c r="L60" i="22"/>
  <c r="M60" i="22"/>
  <c r="P60" i="22" s="1"/>
  <c r="N60" i="22"/>
  <c r="O60" i="22"/>
  <c r="Q60" i="22"/>
  <c r="R60" i="22"/>
  <c r="S60" i="22"/>
  <c r="F61" i="22"/>
  <c r="G61" i="22"/>
  <c r="K75" i="22"/>
  <c r="L75" i="22"/>
  <c r="M75" i="22"/>
  <c r="N75" i="22"/>
  <c r="O75" i="22"/>
  <c r="P75" i="22" s="1"/>
  <c r="R75" i="22"/>
  <c r="S75" i="22"/>
  <c r="K76" i="22"/>
  <c r="L76" i="22"/>
  <c r="M76" i="22"/>
  <c r="N76" i="22"/>
  <c r="O76" i="22"/>
  <c r="R76" i="22"/>
  <c r="S76" i="22"/>
  <c r="K77" i="22"/>
  <c r="L77" i="22"/>
  <c r="M77" i="22"/>
  <c r="P77" i="22" s="1"/>
  <c r="N77" i="22"/>
  <c r="O77" i="22"/>
  <c r="Q77" i="22"/>
  <c r="R77" i="22"/>
  <c r="S77" i="22"/>
  <c r="K78" i="22"/>
  <c r="L78" i="22"/>
  <c r="M78" i="22"/>
  <c r="N78" i="22"/>
  <c r="O78" i="22"/>
  <c r="R78" i="22"/>
  <c r="S78" i="22"/>
  <c r="K79" i="22"/>
  <c r="L79" i="22"/>
  <c r="M79" i="22"/>
  <c r="N79" i="22"/>
  <c r="O79" i="22"/>
  <c r="R79" i="22"/>
  <c r="S79" i="22"/>
  <c r="K80" i="22"/>
  <c r="L80" i="22"/>
  <c r="M80" i="22"/>
  <c r="P80" i="22" s="1"/>
  <c r="N80" i="22"/>
  <c r="O80" i="22"/>
  <c r="R80" i="22"/>
  <c r="S80" i="22"/>
  <c r="K81" i="22"/>
  <c r="L81" i="22"/>
  <c r="M81" i="22"/>
  <c r="N81" i="22"/>
  <c r="O81" i="22"/>
  <c r="R81" i="22"/>
  <c r="S81" i="22"/>
  <c r="K82" i="22"/>
  <c r="L82" i="22"/>
  <c r="M82" i="22"/>
  <c r="N82" i="22"/>
  <c r="O82" i="22"/>
  <c r="R82" i="22"/>
  <c r="S82" i="22"/>
  <c r="K83" i="22"/>
  <c r="L83" i="22"/>
  <c r="M83" i="22"/>
  <c r="N83" i="22"/>
  <c r="O83" i="22"/>
  <c r="R83" i="22"/>
  <c r="S83" i="22"/>
  <c r="K84" i="22"/>
  <c r="L84" i="22"/>
  <c r="M84" i="22"/>
  <c r="N84" i="22"/>
  <c r="O84" i="22"/>
  <c r="R84" i="22"/>
  <c r="S84" i="22"/>
  <c r="F85" i="22"/>
  <c r="G85" i="22"/>
  <c r="K99" i="22"/>
  <c r="L99" i="22"/>
  <c r="M99" i="22"/>
  <c r="N99" i="22"/>
  <c r="O99" i="22"/>
  <c r="Q99" i="22" s="1"/>
  <c r="R99" i="22"/>
  <c r="S99" i="22"/>
  <c r="K100" i="22"/>
  <c r="L100" i="22"/>
  <c r="M100" i="22"/>
  <c r="N100" i="22"/>
  <c r="O100" i="22"/>
  <c r="P100" i="22" s="1"/>
  <c r="R100" i="22"/>
  <c r="S100" i="22"/>
  <c r="K101" i="22"/>
  <c r="L101" i="22"/>
  <c r="M101" i="22"/>
  <c r="N101" i="22"/>
  <c r="O101" i="22"/>
  <c r="R101" i="22"/>
  <c r="S101" i="22"/>
  <c r="K102" i="22"/>
  <c r="L102" i="22"/>
  <c r="M102" i="22"/>
  <c r="N102" i="22"/>
  <c r="Q102" i="22" s="1"/>
  <c r="O102" i="22"/>
  <c r="P102" i="22"/>
  <c r="R102" i="22"/>
  <c r="S102" i="22"/>
  <c r="K103" i="22"/>
  <c r="L103" i="22"/>
  <c r="M103" i="22"/>
  <c r="P103" i="22" s="1"/>
  <c r="N103" i="22"/>
  <c r="O103" i="22"/>
  <c r="Q103" i="22"/>
  <c r="R103" i="22"/>
  <c r="S103" i="22"/>
  <c r="K104" i="22"/>
  <c r="L104" i="22"/>
  <c r="M104" i="22"/>
  <c r="N104" i="22"/>
  <c r="Q104" i="22" s="1"/>
  <c r="O104" i="22"/>
  <c r="P104" i="22"/>
  <c r="R104" i="22"/>
  <c r="S104" i="22"/>
  <c r="K105" i="22"/>
  <c r="L105" i="22"/>
  <c r="M105" i="22"/>
  <c r="P105" i="22" s="1"/>
  <c r="N105" i="22"/>
  <c r="O105" i="22"/>
  <c r="Q105" i="22"/>
  <c r="R105" i="22"/>
  <c r="S105" i="22"/>
  <c r="K106" i="22"/>
  <c r="L106" i="22"/>
  <c r="M106" i="22"/>
  <c r="N106" i="22"/>
  <c r="Q106" i="22" s="1"/>
  <c r="O106" i="22"/>
  <c r="P106" i="22"/>
  <c r="R106" i="22"/>
  <c r="S106" i="22"/>
  <c r="K107" i="22"/>
  <c r="L107" i="22"/>
  <c r="M107" i="22"/>
  <c r="P107" i="22" s="1"/>
  <c r="N107" i="22"/>
  <c r="O107" i="22"/>
  <c r="R107" i="22"/>
  <c r="S107" i="22"/>
  <c r="K108" i="22"/>
  <c r="L108" i="22"/>
  <c r="M108" i="22"/>
  <c r="N108" i="22"/>
  <c r="O108" i="22"/>
  <c r="R108" i="22"/>
  <c r="S108" i="22"/>
  <c r="F109" i="22"/>
  <c r="G109" i="22"/>
  <c r="K123" i="22"/>
  <c r="L123" i="22"/>
  <c r="M123" i="22"/>
  <c r="N123" i="22"/>
  <c r="O123" i="22"/>
  <c r="R123" i="22"/>
  <c r="S123" i="22"/>
  <c r="K124" i="22"/>
  <c r="L124" i="22"/>
  <c r="M124" i="22"/>
  <c r="N124" i="22"/>
  <c r="Q124" i="22" s="1"/>
  <c r="O124" i="22"/>
  <c r="R124" i="22"/>
  <c r="S124" i="22"/>
  <c r="K125" i="22"/>
  <c r="L125" i="22"/>
  <c r="M125" i="22"/>
  <c r="N125" i="22"/>
  <c r="O125" i="22"/>
  <c r="R125" i="22"/>
  <c r="S125" i="22"/>
  <c r="K126" i="22"/>
  <c r="L126" i="22"/>
  <c r="M126" i="22"/>
  <c r="N126" i="22"/>
  <c r="Q126" i="22" s="1"/>
  <c r="O126" i="22"/>
  <c r="R126" i="22"/>
  <c r="S126" i="22"/>
  <c r="K127" i="22"/>
  <c r="L127" i="22"/>
  <c r="M127" i="22"/>
  <c r="N127" i="22"/>
  <c r="O127" i="22"/>
  <c r="P127" i="22" s="1"/>
  <c r="R127" i="22"/>
  <c r="S127" i="22"/>
  <c r="K128" i="22"/>
  <c r="L128" i="22"/>
  <c r="M128" i="22"/>
  <c r="N128" i="22"/>
  <c r="O128" i="22"/>
  <c r="Q128" i="22" s="1"/>
  <c r="R128" i="22"/>
  <c r="S128" i="22"/>
  <c r="K129" i="22"/>
  <c r="L129" i="22"/>
  <c r="M129" i="22"/>
  <c r="N129" i="22"/>
  <c r="O129" i="22"/>
  <c r="P129" i="22"/>
  <c r="R129" i="22"/>
  <c r="S129" i="22"/>
  <c r="K130" i="22"/>
  <c r="L130" i="22"/>
  <c r="M130" i="22"/>
  <c r="N130" i="22"/>
  <c r="O130" i="22"/>
  <c r="R130" i="22"/>
  <c r="S130" i="22"/>
  <c r="K131" i="22"/>
  <c r="L131" i="22"/>
  <c r="M131" i="22"/>
  <c r="N131" i="22"/>
  <c r="O131" i="22"/>
  <c r="R131" i="22"/>
  <c r="S131" i="22"/>
  <c r="K132" i="22"/>
  <c r="L132" i="22"/>
  <c r="M132" i="22"/>
  <c r="P132" i="22" s="1"/>
  <c r="N132" i="22"/>
  <c r="O132" i="22"/>
  <c r="Q132" i="22"/>
  <c r="R132" i="22"/>
  <c r="S132" i="22"/>
  <c r="F133" i="22"/>
  <c r="G133" i="22"/>
  <c r="B337" i="1" l="1"/>
  <c r="D335" i="1"/>
  <c r="D56" i="1"/>
  <c r="D55" i="1"/>
  <c r="F190" i="24"/>
  <c r="G190" i="24" s="1"/>
  <c r="F176" i="24"/>
  <c r="C223" i="1"/>
  <c r="C222" i="1"/>
  <c r="E279" i="1"/>
  <c r="E180" i="24"/>
  <c r="F180" i="24" s="1"/>
  <c r="G180" i="24" s="1"/>
  <c r="D187" i="24"/>
  <c r="D194" i="24"/>
  <c r="B21" i="24"/>
  <c r="P83" i="22"/>
  <c r="P12" i="22"/>
  <c r="Q131" i="22"/>
  <c r="P123" i="22"/>
  <c r="Q78" i="22"/>
  <c r="Q59" i="22"/>
  <c r="Q32" i="22"/>
  <c r="BB2" i="17"/>
  <c r="P131" i="22"/>
  <c r="P59" i="22"/>
  <c r="I190" i="24"/>
  <c r="C147" i="24"/>
  <c r="P125" i="22"/>
  <c r="P108" i="22"/>
  <c r="L109" i="22"/>
  <c r="Q80" i="22"/>
  <c r="P53" i="22"/>
  <c r="Q34" i="22"/>
  <c r="P10" i="22"/>
  <c r="F183" i="24"/>
  <c r="Q123" i="22"/>
  <c r="Q75" i="22"/>
  <c r="Q27" i="22"/>
  <c r="Q10" i="22"/>
  <c r="Q5" i="22"/>
  <c r="L13" i="22"/>
  <c r="H190" i="24"/>
  <c r="K109" i="22"/>
  <c r="P81" i="22"/>
  <c r="L37" i="22"/>
  <c r="P27" i="22"/>
  <c r="Q6" i="22"/>
  <c r="C191" i="24"/>
  <c r="C187" i="24"/>
  <c r="C180" i="24"/>
  <c r="K85" i="22"/>
  <c r="Q127" i="22"/>
  <c r="Q125" i="22"/>
  <c r="Q133" i="22" s="1"/>
  <c r="N133" i="22" s="1"/>
  <c r="Q81" i="22"/>
  <c r="E207" i="24"/>
  <c r="C21" i="24"/>
  <c r="D173" i="24"/>
  <c r="D180" i="24"/>
  <c r="D322" i="1"/>
  <c r="D21" i="24"/>
  <c r="D23" i="24" s="1"/>
  <c r="C194" i="24"/>
  <c r="F194" i="24" s="1"/>
  <c r="G194" i="24" s="1"/>
  <c r="L133" i="22"/>
  <c r="Q108" i="22"/>
  <c r="Q52" i="22"/>
  <c r="Q35" i="22"/>
  <c r="Q29" i="22"/>
  <c r="P6" i="22"/>
  <c r="E31" i="24"/>
  <c r="Q84" i="22"/>
  <c r="P79" i="22"/>
  <c r="Q76" i="22"/>
  <c r="P58" i="22"/>
  <c r="Q54" i="22"/>
  <c r="P33" i="22"/>
  <c r="Q30" i="22"/>
  <c r="P5" i="22"/>
  <c r="K13" i="22"/>
  <c r="B191" i="24"/>
  <c r="B188" i="24"/>
  <c r="B163" i="24"/>
  <c r="D147" i="24" s="1"/>
  <c r="A102" i="24"/>
  <c r="D22" i="24"/>
  <c r="E22" i="24" s="1"/>
  <c r="B9" i="24"/>
  <c r="G206" i="1"/>
  <c r="F104" i="1"/>
  <c r="F207" i="1" s="1"/>
  <c r="G207" i="1"/>
  <c r="F103" i="1"/>
  <c r="Q130" i="22"/>
  <c r="Q129" i="22"/>
  <c r="P128" i="22"/>
  <c r="P126" i="22"/>
  <c r="P124" i="22"/>
  <c r="Q107" i="22"/>
  <c r="Q101" i="22"/>
  <c r="P84" i="22"/>
  <c r="Q82" i="22"/>
  <c r="P76" i="22"/>
  <c r="Q58" i="22"/>
  <c r="P51" i="22"/>
  <c r="Q36" i="22"/>
  <c r="Q33" i="22"/>
  <c r="P30" i="22"/>
  <c r="P28" i="22"/>
  <c r="P9" i="22"/>
  <c r="Q7" i="22"/>
  <c r="P4" i="22"/>
  <c r="B196" i="24"/>
  <c r="B194" i="24"/>
  <c r="E187" i="24"/>
  <c r="B177" i="24"/>
  <c r="C32" i="24"/>
  <c r="BH2" i="17"/>
  <c r="B23" i="24"/>
  <c r="C111" i="1"/>
  <c r="C56" i="1"/>
  <c r="C54" i="1"/>
  <c r="G239" i="1"/>
  <c r="B205" i="1"/>
  <c r="C57" i="1"/>
  <c r="B184" i="24"/>
  <c r="B32" i="24"/>
  <c r="BF2" i="17"/>
  <c r="AZ2" i="17"/>
  <c r="D314" i="1"/>
  <c r="C232" i="1"/>
  <c r="D224" i="1"/>
  <c r="F149" i="1"/>
  <c r="E128" i="1"/>
  <c r="D101" i="1"/>
  <c r="D29" i="24" s="1"/>
  <c r="F213" i="1"/>
  <c r="B192" i="24"/>
  <c r="A205" i="24" s="1"/>
  <c r="B183" i="24"/>
  <c r="B178" i="24"/>
  <c r="A203" i="24" s="1"/>
  <c r="F173" i="24"/>
  <c r="G173" i="24" s="1"/>
  <c r="A151" i="24"/>
  <c r="D163" i="24" s="1"/>
  <c r="I160" i="24" s="1"/>
  <c r="C31" i="24"/>
  <c r="C30" i="24"/>
  <c r="AA2" i="17"/>
  <c r="B281" i="1"/>
  <c r="B19" i="24" s="1"/>
  <c r="D232" i="1"/>
  <c r="F181" i="1"/>
  <c r="B139" i="1"/>
  <c r="F128" i="1"/>
  <c r="B176" i="24"/>
  <c r="B172" i="24"/>
  <c r="C344" i="1"/>
  <c r="H239" i="1"/>
  <c r="D160" i="1"/>
  <c r="D111" i="1"/>
  <c r="F105" i="1"/>
  <c r="F206" i="1" s="1"/>
  <c r="D92" i="1"/>
  <c r="E8" i="24"/>
  <c r="CW2" i="17"/>
  <c r="D316" i="1"/>
  <c r="B7" i="24"/>
  <c r="B88" i="1"/>
  <c r="P130" i="22"/>
  <c r="P101" i="22"/>
  <c r="P99" i="22"/>
  <c r="P82" i="22"/>
  <c r="P78" i="22"/>
  <c r="P36" i="22"/>
  <c r="P32" i="22"/>
  <c r="O13" i="22"/>
  <c r="Q12" i="22"/>
  <c r="Q8" i="22"/>
  <c r="Q4" i="22"/>
  <c r="D36" i="24"/>
  <c r="G36" i="24" s="1"/>
  <c r="G37" i="24"/>
  <c r="E20" i="24"/>
  <c r="D15" i="24"/>
  <c r="AY2" i="17"/>
  <c r="B214" i="1"/>
  <c r="C101" i="1"/>
  <c r="C29" i="24" s="1"/>
  <c r="K133" i="22"/>
  <c r="O109" i="22"/>
  <c r="L85" i="22"/>
  <c r="P57" i="22"/>
  <c r="P61" i="22" s="1"/>
  <c r="M61" i="22" s="1"/>
  <c r="Q28" i="22"/>
  <c r="O37" i="22"/>
  <c r="K37" i="22"/>
  <c r="C23" i="24"/>
  <c r="AE2" i="17"/>
  <c r="B93" i="1"/>
  <c r="O133" i="22"/>
  <c r="Q100" i="22"/>
  <c r="O85" i="22"/>
  <c r="Q83" i="22"/>
  <c r="Q79" i="22"/>
  <c r="Q53" i="22"/>
  <c r="Q61" i="22" s="1"/>
  <c r="N61" i="22" s="1"/>
  <c r="O61" i="22"/>
  <c r="K61" i="22"/>
  <c r="L61" i="22"/>
  <c r="P11" i="22"/>
  <c r="P7" i="22"/>
  <c r="P3" i="22"/>
  <c r="H183" i="24"/>
  <c r="C184" i="24"/>
  <c r="D9" i="24"/>
  <c r="C84" i="1"/>
  <c r="C6" i="24" s="1"/>
  <c r="C14" i="24" s="1"/>
  <c r="B92" i="1"/>
  <c r="E101" i="1"/>
  <c r="E29" i="24" s="1"/>
  <c r="E111" i="1"/>
  <c r="C128" i="1"/>
  <c r="C139" i="1"/>
  <c r="D149" i="1"/>
  <c r="E160" i="1"/>
  <c r="C181" i="1"/>
  <c r="E232" i="1"/>
  <c r="E239" i="1"/>
  <c r="D251" i="1"/>
  <c r="C273" i="1"/>
  <c r="C281" i="1"/>
  <c r="C19" i="24" s="1"/>
  <c r="D329" i="1"/>
  <c r="A100" i="24"/>
  <c r="A153" i="24"/>
  <c r="D165" i="24" s="1"/>
  <c r="B173" i="24"/>
  <c r="B175" i="24"/>
  <c r="B180" i="24"/>
  <c r="B182" i="24"/>
  <c r="B187" i="24"/>
  <c r="B189" i="24"/>
  <c r="D84" i="1"/>
  <c r="D6" i="24" s="1"/>
  <c r="D14" i="24" s="1"/>
  <c r="C92" i="1"/>
  <c r="B101" i="1"/>
  <c r="B29" i="24" s="1"/>
  <c r="B111" i="1"/>
  <c r="F111" i="1"/>
  <c r="D128" i="1"/>
  <c r="D139" i="1"/>
  <c r="E149" i="1"/>
  <c r="B160" i="1"/>
  <c r="F160" i="1"/>
  <c r="D181" i="1"/>
  <c r="B232" i="1"/>
  <c r="F232" i="1"/>
  <c r="F239" i="1"/>
  <c r="E251" i="1"/>
  <c r="D273" i="1"/>
  <c r="D281" i="1"/>
  <c r="D19" i="24" s="1"/>
  <c r="B344" i="1"/>
  <c r="A101" i="24"/>
  <c r="A154" i="24"/>
  <c r="D166" i="24" s="1"/>
  <c r="B170" i="24"/>
  <c r="G111" i="1"/>
  <c r="E139" i="1"/>
  <c r="B149" i="1"/>
  <c r="B181" i="1"/>
  <c r="G232" i="1"/>
  <c r="F251" i="1"/>
  <c r="D344" i="1"/>
  <c r="B181" i="24"/>
  <c r="B186" i="24"/>
  <c r="B59" i="1"/>
  <c r="B128" i="1"/>
  <c r="F139" i="1"/>
  <c r="C149" i="1"/>
  <c r="C160" i="1"/>
  <c r="E181" i="1"/>
  <c r="H232" i="1"/>
  <c r="B273" i="1"/>
  <c r="B329" i="1"/>
  <c r="A99" i="24"/>
  <c r="B174" i="24"/>
  <c r="B179" i="24"/>
  <c r="B185" i="24"/>
  <c r="A204" i="24" s="1"/>
  <c r="B190" i="24"/>
  <c r="B193" i="24"/>
  <c r="B195" i="24"/>
  <c r="H206" i="1"/>
  <c r="E32" i="24"/>
  <c r="BD2" i="17"/>
  <c r="F102" i="1"/>
  <c r="H176" i="24"/>
  <c r="C160" i="24"/>
  <c r="E1" i="24"/>
  <c r="E286" i="1"/>
  <c r="D313" i="1"/>
  <c r="BE2" i="17"/>
  <c r="B30" i="24"/>
  <c r="D88" i="1"/>
  <c r="D94" i="1" s="1"/>
  <c r="D93" i="1"/>
  <c r="C88" i="1"/>
  <c r="C93" i="1"/>
  <c r="C7" i="24"/>
  <c r="E221" i="1" l="1"/>
  <c r="D57" i="1"/>
  <c r="G183" i="24"/>
  <c r="I183" i="24"/>
  <c r="G176" i="24"/>
  <c r="I176" i="24"/>
  <c r="C224" i="1"/>
  <c r="E147" i="24"/>
  <c r="G147" i="24" s="1"/>
  <c r="H147" i="24"/>
  <c r="I147" i="24" s="1"/>
  <c r="F37" i="24"/>
  <c r="E21" i="24"/>
  <c r="P13" i="22"/>
  <c r="M13" i="22" s="1"/>
  <c r="P85" i="22"/>
  <c r="M85" i="22" s="1"/>
  <c r="Q85" i="22"/>
  <c r="N85" i="22" s="1"/>
  <c r="Q109" i="22"/>
  <c r="N109" i="22" s="1"/>
  <c r="P133" i="22"/>
  <c r="M133" i="22" s="1"/>
  <c r="F187" i="24"/>
  <c r="G187" i="24" s="1"/>
  <c r="Q13" i="22"/>
  <c r="N13" i="22" s="1"/>
  <c r="P37" i="22"/>
  <c r="M37" i="22" s="1"/>
  <c r="G31" i="24"/>
  <c r="G32" i="24"/>
  <c r="F32" i="24" s="1"/>
  <c r="Q37" i="22"/>
  <c r="N37" i="22" s="1"/>
  <c r="F170" i="24"/>
  <c r="E23" i="24"/>
  <c r="G29" i="24"/>
  <c r="F31" i="24" s="1"/>
  <c r="F19" i="24"/>
  <c r="C94" i="1"/>
  <c r="C89" i="1"/>
  <c r="D89" i="1"/>
  <c r="E9" i="24"/>
  <c r="G30" i="24"/>
  <c r="F30" i="24" s="1"/>
  <c r="B94" i="1"/>
  <c r="B89" i="1"/>
  <c r="C10" i="24"/>
  <c r="C16" i="24" s="1"/>
  <c r="C15" i="24"/>
  <c r="D10" i="24"/>
  <c r="B132" i="24" s="1"/>
  <c r="P109" i="22"/>
  <c r="M109" i="22" s="1"/>
  <c r="B10" i="24"/>
  <c r="B12" i="24" s="1"/>
  <c r="E7" i="24"/>
  <c r="B15" i="24"/>
  <c r="D315" i="1" l="1"/>
  <c r="G170" i="24"/>
  <c r="B130" i="24"/>
  <c r="D12" i="24"/>
  <c r="B131" i="24"/>
  <c r="C12" i="24"/>
  <c r="C124" i="24"/>
  <c r="C125" i="24"/>
  <c r="C126" i="24" s="1"/>
  <c r="D16" i="24"/>
  <c r="B16" i="24"/>
  <c r="E10" i="24"/>
  <c r="E12" i="24" s="1"/>
  <c r="C127" i="24" l="1"/>
  <c r="B125" i="24" s="1"/>
  <c r="B124" i="24" l="1"/>
  <c r="B126" i="24"/>
  <c r="B129" i="24" s="1"/>
  <c r="B127" i="24" l="1"/>
  <c r="D127" i="24"/>
  <c r="E127" i="24"/>
  <c r="D125" i="24" l="1"/>
  <c r="D124" i="24"/>
  <c r="D126" i="24"/>
  <c r="E126" i="24"/>
  <c r="E124" i="24"/>
  <c r="E125" i="24"/>
  <c r="F124" i="24" l="1"/>
  <c r="F126" i="24"/>
  <c r="F125" i="24"/>
  <c r="F127" i="24" l="1"/>
  <c r="G127" i="24" s="1"/>
  <c r="G126" i="24" l="1"/>
  <c r="C189" i="1" s="1"/>
  <c r="G124" i="24"/>
  <c r="C187" i="1" s="1"/>
  <c r="G125" i="24"/>
  <c r="C188" i="1" s="1"/>
  <c r="B138" i="24" l="1"/>
  <c r="E170" i="24" s="1"/>
  <c r="E171" i="24" s="1"/>
  <c r="B189" i="1"/>
  <c r="D189" i="1"/>
  <c r="B188" i="1"/>
  <c r="D188" i="1"/>
  <c r="B137" i="24"/>
  <c r="D170" i="24" s="1"/>
  <c r="D171" i="24" s="1"/>
  <c r="B136" i="24"/>
  <c r="B187" i="1"/>
  <c r="B190" i="1" s="1"/>
  <c r="D187" i="1"/>
  <c r="E187" i="1"/>
  <c r="C190" i="1"/>
  <c r="D190" i="1" l="1"/>
  <c r="C202" i="24"/>
  <c r="D174" i="24"/>
  <c r="B139" i="24"/>
  <c r="C170" i="24"/>
  <c r="C171" i="24" s="1"/>
  <c r="C172" i="24"/>
  <c r="D202" i="24"/>
  <c r="D172" i="24"/>
  <c r="E172" i="24" s="1"/>
  <c r="E175" i="24" s="1"/>
  <c r="E178" i="24" s="1"/>
  <c r="E174" i="24"/>
  <c r="C179" i="24" l="1"/>
  <c r="D179" i="24"/>
  <c r="D203" i="24"/>
  <c r="E181" i="24"/>
  <c r="F172" i="24"/>
  <c r="G172" i="24" s="1"/>
  <c r="D175" i="24"/>
  <c r="D178" i="24" s="1"/>
  <c r="B202" i="24"/>
  <c r="E202" i="24" s="1"/>
  <c r="F171" i="24"/>
  <c r="C174" i="24"/>
  <c r="F174" i="24" s="1"/>
  <c r="G174" i="24" s="1"/>
  <c r="G171" i="24" l="1"/>
  <c r="J171" i="24"/>
  <c r="C203" i="24"/>
  <c r="D181" i="24"/>
  <c r="E179" i="24"/>
  <c r="E182" i="24" s="1"/>
  <c r="E185" i="24" s="1"/>
  <c r="D182" i="24"/>
  <c r="D185" i="24" s="1"/>
  <c r="F179" i="24"/>
  <c r="G179" i="24" s="1"/>
  <c r="C175" i="24"/>
  <c r="C178" i="24" l="1"/>
  <c r="F175" i="24"/>
  <c r="G175" i="24" s="1"/>
  <c r="D188" i="24"/>
  <c r="C204" i="24"/>
  <c r="D186" i="24"/>
  <c r="E186" i="24" s="1"/>
  <c r="C186" i="24"/>
  <c r="F186" i="24" s="1"/>
  <c r="G186" i="24" s="1"/>
  <c r="E188" i="24"/>
  <c r="D204" i="24"/>
  <c r="E189" i="24" l="1"/>
  <c r="E192" i="24" s="1"/>
  <c r="C181" i="24"/>
  <c r="F181" i="24" s="1"/>
  <c r="G181" i="24" s="1"/>
  <c r="B203" i="24"/>
  <c r="E203" i="24" s="1"/>
  <c r="F178" i="24"/>
  <c r="E177" i="24" s="1"/>
  <c r="C182" i="24"/>
  <c r="D189" i="24"/>
  <c r="D192" i="24" s="1"/>
  <c r="C177" i="24" l="1"/>
  <c r="D193" i="24"/>
  <c r="E193" i="24" s="1"/>
  <c r="D205" i="24"/>
  <c r="C193" i="24"/>
  <c r="E195" i="24"/>
  <c r="C205" i="24"/>
  <c r="D195" i="24"/>
  <c r="D196" i="24" s="1"/>
  <c r="F182" i="24"/>
  <c r="G182" i="24" s="1"/>
  <c r="C185" i="24"/>
  <c r="G178" i="24"/>
  <c r="J178" i="24"/>
  <c r="E196" i="24" l="1"/>
  <c r="C188" i="24"/>
  <c r="F188" i="24" s="1"/>
  <c r="G188" i="24" s="1"/>
  <c r="B204" i="24"/>
  <c r="E204" i="24" s="1"/>
  <c r="F185" i="24"/>
  <c r="E184" i="24" s="1"/>
  <c r="F193" i="24"/>
  <c r="G193" i="24" s="1"/>
  <c r="C189" i="24" l="1"/>
  <c r="F189" i="24" s="1"/>
  <c r="G189" i="24" s="1"/>
  <c r="J185" i="24"/>
  <c r="G185" i="24"/>
  <c r="C192" i="24" l="1"/>
  <c r="B205" i="24" s="1"/>
  <c r="E205" i="24" s="1"/>
  <c r="C195" i="24" l="1"/>
  <c r="F195" i="24" s="1"/>
  <c r="G195" i="24" s="1"/>
  <c r="F192" i="24"/>
  <c r="E191" i="24" s="1"/>
  <c r="J192" i="24" l="1"/>
  <c r="G192" i="24"/>
  <c r="C196" i="24"/>
  <c r="F196" i="24" s="1"/>
  <c r="G19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C1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Älgskötsel-områdets namn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Fyll i Länsstyrelsens diarienummer (om det är känt)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6" authorId="0" shapeId="0" xr:uid="{00000000-0006-0000-0300-000003000000}">
      <text>
        <r>
          <rPr>
            <sz val="9"/>
            <color rgb="FF000000"/>
            <rFont val="Tahoma"/>
            <family val="2"/>
          </rPr>
          <t xml:space="preserve">Ang datum för upprättande eller revidering av denna älgskötselplan
</t>
        </r>
      </text>
    </comment>
    <comment ref="C8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>Länsstyrelsens reg nr.</t>
        </r>
        <r>
          <rPr>
            <sz val="9"/>
            <color rgb="FF000000"/>
            <rFont val="Tahoma"/>
            <family val="2"/>
          </rPr>
          <t xml:space="preserve">
lämnas tom vid nytt område som inte fått reg nr. av Länsstyrelsen</t>
        </r>
      </text>
    </comment>
    <comment ref="D1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 xml:space="preserve">Ange om arealen är beslutad av Länsstyrelsen eller om det är en ansökt areal  vid nytt eller minskat/utökat älgskötselområde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Åkermark</t>
        </r>
        <r>
          <rPr>
            <sz val="9"/>
            <color rgb="FF000000"/>
            <rFont val="Tahoma"/>
            <family val="2"/>
          </rPr>
          <t xml:space="preserve">
Informaton om åkermarkens storlek. Arealen används inte i skötselplanens beräkningar.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A1" authorId="0" shapeId="0" xr:uid="{00000000-0006-0000-0600-000001000000}">
      <text>
        <r>
          <rPr>
            <b/>
            <sz val="9"/>
            <color rgb="FF000000"/>
            <rFont val="Tahoma"/>
            <family val="2"/>
          </rPr>
          <t>Sammanställningav uppgifter från fliken "Skötselplan"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40" authorId="0" shapeId="0" xr:uid="{00000000-0006-0000-0600-000002000000}">
      <text>
        <r>
          <rPr>
            <b/>
            <sz val="9"/>
            <color rgb="FF000000"/>
            <rFont val="Tahoma"/>
            <family val="2"/>
          </rPr>
          <t>Fylls endast i om flyginventering enligt dokomenterad metodik genomförts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76" authorId="0" shapeId="0" xr:uid="{00000000-0006-0000-0600-000003000000}">
      <text>
        <r>
          <rPr>
            <b/>
            <sz val="9"/>
            <color rgb="FF000000"/>
            <rFont val="Tahoma"/>
            <family val="2"/>
          </rPr>
          <t>Samma antal älgar/1000 ha som unde bedömd vinterstam punkt 2.1.6 i skötselplanen. Datat i diagrammen ovan är till hälp för bedömning av älgstammens täthet.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9" authorId="0" shapeId="0" xr:uid="{00000000-0006-0000-0600-000004000000}">
      <text>
        <r>
          <rPr>
            <b/>
            <sz val="9"/>
            <color rgb="FF000000"/>
            <rFont val="Tahoma"/>
            <family val="2"/>
          </rPr>
          <t>Anges som andel kalvar av vuxna hondjur, tex. 0,8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6" authorId="0" shapeId="0" xr:uid="{00000000-0006-0000-0600-000005000000}">
      <text>
        <r>
          <rPr>
            <b/>
            <sz val="9"/>
            <color rgb="FF000000"/>
            <rFont val="Tahoma"/>
            <family val="2"/>
          </rPr>
          <t>Andel tjur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7" authorId="0" shapeId="0" xr:uid="{00000000-0006-0000-0600-000006000000}">
      <text>
        <r>
          <rPr>
            <b/>
            <sz val="9"/>
            <color rgb="FF000000"/>
            <rFont val="Tahoma"/>
            <family val="2"/>
          </rPr>
          <t>Andel vuxna hondjur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8" authorId="0" shapeId="0" xr:uid="{00000000-0006-0000-0600-000007000000}">
      <text>
        <r>
          <rPr>
            <b/>
            <sz val="9"/>
            <color rgb="FF000000"/>
            <rFont val="Tahoma"/>
            <family val="2"/>
          </rPr>
          <t>Andel kalv av den totala stammanen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7" authorId="0" shapeId="0" xr:uid="{00000000-0006-0000-0600-000008000000}">
      <text>
        <r>
          <rPr>
            <sz val="9"/>
            <color rgb="FF000000"/>
            <rFont val="Tahoma"/>
            <family val="2"/>
          </rPr>
          <t>Baserat på uppgifterna i skötselplanen</t>
        </r>
      </text>
    </comment>
    <comment ref="F147" authorId="0" shapeId="0" xr:uid="{00000000-0006-0000-0600-000009000000}">
      <text>
        <r>
          <rPr>
            <sz val="9"/>
            <color rgb="FF000000"/>
            <rFont val="Tahoma"/>
            <family val="2"/>
          </rPr>
          <t xml:space="preserve">Anger den  normala reproduktionen (vuxna djur +födda kalvar). Normala värden 1,3 -1,4. 
</t>
        </r>
      </text>
    </comment>
    <comment ref="I147" authorId="0" shapeId="0" xr:uid="{00000000-0006-0000-0600-00000A000000}">
      <text>
        <r>
          <rPr>
            <b/>
            <sz val="9"/>
            <color rgb="FF000000"/>
            <rFont val="Tahoma"/>
            <family val="2"/>
          </rPr>
          <t>Baserad på registrerade dödligheten i skötselplanen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9" authorId="0" shapeId="0" xr:uid="{00000000-0006-0000-0600-00000B000000}">
      <text>
        <r>
          <rPr>
            <sz val="9"/>
            <color rgb="FF000000"/>
            <rFont val="Tahoma"/>
            <family val="2"/>
          </rPr>
          <t>Dödlighet är antalet älgar som dör under året. Jakten står för merparten av dödligheten, men dessutom tillkommer dödlighet i form av trafikolyckor, (predation)* och övrig dödlighet t.ex. ålder, sjukdomar eller ej trafikrelaterade olyckor.</t>
        </r>
        <r>
          <rPr>
            <b/>
            <sz val="9"/>
            <color rgb="FF000000"/>
            <rFont val="Tahoma"/>
            <family val="2"/>
          </rPr>
          <t xml:space="preserve"> Normalt intrvall ca 4-5 % .</t>
        </r>
        <r>
          <rPr>
            <sz val="9"/>
            <color rgb="FF000000"/>
            <rFont val="Tahoma"/>
            <family val="2"/>
          </rPr>
          <t>Värdet kan vara betydligt högre i områden med mycket viltolyckor eller (rovdjurspredation)*
*Rovdjursredationen beräknas inte här eftersom den redovisas direkt i avskjutningsberäkningen</t>
        </r>
      </text>
    </comment>
    <comment ref="B151" authorId="0" shapeId="0" xr:uid="{00000000-0006-0000-0600-00000C000000}">
      <text>
        <r>
          <rPr>
            <b/>
            <sz val="9"/>
            <color rgb="FF000000"/>
            <rFont val="Tahoma"/>
            <family val="2"/>
          </rPr>
          <t>Övrig dödlighet:
Ange % beräknad dödlighet utöver jakt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65" authorId="0" shapeId="0" xr:uid="{00000000-0006-0000-0600-00000D000000}">
      <text>
        <r>
          <rPr>
            <sz val="9"/>
            <color rgb="FF000000"/>
            <rFont val="Tahoma"/>
            <family val="2"/>
          </rPr>
          <t xml:space="preserve">Normalt föds det något fler tjurkalvar än kvigkalvar. Ca 52 % tjurkalv.
</t>
        </r>
      </text>
    </comment>
  </commentList>
</comments>
</file>

<file path=xl/sharedStrings.xml><?xml version="1.0" encoding="utf-8"?>
<sst xmlns="http://schemas.openxmlformats.org/spreadsheetml/2006/main" count="1743" uniqueCount="1267">
  <si>
    <t>Förutsättningar till ÄSP-mallen</t>
  </si>
  <si>
    <t>Färgernas avsikt:</t>
  </si>
  <si>
    <t>Ärendekort</t>
  </si>
  <si>
    <t>Ansökan om:</t>
  </si>
  <si>
    <t>För perioden, jaktåret</t>
  </si>
  <si>
    <t>till och med</t>
  </si>
  <si>
    <t>Namn område</t>
  </si>
  <si>
    <t>Länsstyrelsens reg.nummer</t>
  </si>
  <si>
    <t>Till befintligt ärende</t>
  </si>
  <si>
    <t>Fyll i uppgifterna i nedan och lämna ärendekortet till Länsstyrelsen som försättsblad till skötselplanen</t>
  </si>
  <si>
    <t>Företädare för älgskötselområdet</t>
  </si>
  <si>
    <t>Namn</t>
  </si>
  <si>
    <t>Telefon 1</t>
  </si>
  <si>
    <t>Telefon 2</t>
  </si>
  <si>
    <t>Aderss</t>
  </si>
  <si>
    <t>Telefon 3</t>
  </si>
  <si>
    <t>Postnummer och ort</t>
  </si>
  <si>
    <t>E-postadress</t>
  </si>
  <si>
    <t>Födelsedatum</t>
  </si>
  <si>
    <t>Namn på älgskötselområdet</t>
  </si>
  <si>
    <t>Namn på ÄSO</t>
  </si>
  <si>
    <t>Typ av plan</t>
  </si>
  <si>
    <t>Diarieföring av älgskötselplanen</t>
  </si>
  <si>
    <t>Version (datum)</t>
  </si>
  <si>
    <t>Ange datum då planen skrivs/ändras</t>
  </si>
  <si>
    <t>Registreringsnummer enligt Länsstyrelsens registreringsbeslut (ex. 01-01-01-001)</t>
  </si>
  <si>
    <t>Älgskötselplan för perioden</t>
  </si>
  <si>
    <t>Planperiod, omfattar åren</t>
  </si>
  <si>
    <t>Reviderad datum</t>
  </si>
  <si>
    <t>Ange senaste datum för revidering (dag då planen signeras)</t>
  </si>
  <si>
    <t>Revidering orsak</t>
  </si>
  <si>
    <t>Välj ett av alternativen i listan</t>
  </si>
  <si>
    <t>Total areal ÄSO (ha)</t>
  </si>
  <si>
    <t>Ange om arelen överensstämmer med Länsstyrelsens registreringsbeslut eller om arealen avser ett nytt/förändrat område</t>
  </si>
  <si>
    <t>Areal åkermark i ha</t>
  </si>
  <si>
    <t>(Arealen används inte i beräkningar, beräkninga baseras på total areal)</t>
  </si>
  <si>
    <t>Registrerande län</t>
  </si>
  <si>
    <t>Enligt beslut från LST (län som administrerar ÄSO)</t>
  </si>
  <si>
    <t xml:space="preserve">ÄFO nummer </t>
  </si>
  <si>
    <t>Äfo som äso tillhör</t>
  </si>
  <si>
    <t>ÄFO namn</t>
  </si>
  <si>
    <t>Anges av LST</t>
  </si>
  <si>
    <t>Fastställd av länsstyrelsen den</t>
  </si>
  <si>
    <t>Länsstyrelsens noteringar och villkor för beslut om fastställande av planen:</t>
  </si>
  <si>
    <t>INNEHÅLL:</t>
  </si>
  <si>
    <r>
      <rPr>
        <b/>
        <sz val="14"/>
        <color theme="1"/>
        <rFont val="Calibri"/>
        <family val="2"/>
      </rPr>
      <t>1. MÅLSÄTTNINGAR</t>
    </r>
    <r>
      <rPr>
        <sz val="14"/>
        <color theme="1"/>
        <rFont val="Calibri"/>
        <family val="2"/>
      </rPr>
      <t xml:space="preserve">
1.1 Älgstammen
1.2 Skog och betesskador</t>
    </r>
  </si>
  <si>
    <r>
      <rPr>
        <b/>
        <sz val="14"/>
        <color theme="1"/>
        <rFont val="Calibri"/>
        <family val="2"/>
      </rPr>
      <t>2. NULÄGESBESKRIVNING</t>
    </r>
    <r>
      <rPr>
        <sz val="14"/>
        <color theme="1"/>
        <rFont val="Calibri"/>
        <family val="2"/>
      </rPr>
      <t xml:space="preserve">
2.1 Uppgifter om älgstammen
2.2 Uppgifter om skogstillstånd och betesskador
2.3 Skador på gröda
2.4 Trafikolyckor med älg
2.5 Övrig dödlighet
2.6 Predation</t>
    </r>
  </si>
  <si>
    <t>3. SAMMANFATTNING MÅLSÄTTNINGAR OCH NULÄGE</t>
  </si>
  <si>
    <r>
      <rPr>
        <b/>
        <sz val="14"/>
        <color theme="1"/>
        <rFont val="Calibri"/>
        <family val="2"/>
      </rPr>
      <t>4. HANDLINGSPLAN FRÅN NULÄGE TILL MÅLUPPFYLLNAD</t>
    </r>
    <r>
      <rPr>
        <sz val="14"/>
        <color theme="1"/>
        <rFont val="Calibri"/>
        <family val="2"/>
      </rPr>
      <t xml:space="preserve">
4.1 Planerad avskjutning 
4.2 Avskjutningsförslag licensområden
4.3 Planerade inventeringar</t>
    </r>
  </si>
  <si>
    <r>
      <rPr>
        <b/>
        <sz val="14"/>
        <color theme="1"/>
        <rFont val="Calibri"/>
        <family val="2"/>
      </rPr>
      <t>5. ÖVRIGT</t>
    </r>
    <r>
      <rPr>
        <sz val="14"/>
        <color theme="1"/>
        <rFont val="Calibri"/>
        <family val="2"/>
      </rPr>
      <t xml:space="preserve">
5.1 Redogörelse för samråd och förankringsprocessen inom äso.
5.2 Bilagor</t>
    </r>
  </si>
  <si>
    <t>1. MÅLSÄTTNINGAR</t>
  </si>
  <si>
    <t xml:space="preserve">1.1 Mål för älgstammens utveckling inom älgskötselområdet </t>
  </si>
  <si>
    <t xml:space="preserve">Kvantitativ målsättning för treårsperioden </t>
  </si>
  <si>
    <t>Antal de kommande 3 åren</t>
  </si>
  <si>
    <t>Öka</t>
  </si>
  <si>
    <t>Oförändrad</t>
  </si>
  <si>
    <t>Minska</t>
  </si>
  <si>
    <t>Älgstammen ska</t>
  </si>
  <si>
    <t>Markera med kryss önskad riktning för älgstammens numerär under planperioden.</t>
  </si>
  <si>
    <t>Med hänsyn till:</t>
  </si>
  <si>
    <t>Ange skäl till föreslag avseende vinterstammens nivå</t>
  </si>
  <si>
    <t>Kvantitativ målsättning för treårsperioden (3-års medelvärden)</t>
  </si>
  <si>
    <t>antal</t>
  </si>
  <si>
    <t>antal/1000 ha</t>
  </si>
  <si>
    <t>%</t>
  </si>
  <si>
    <t>Kvantitativa målsättningar för älgstammen inom äso, uttyckt i treårsmedlevärden. Relateras till ÄFP.</t>
  </si>
  <si>
    <t>Tjur</t>
  </si>
  <si>
    <t>Målsättning (treårsmedlevärde) för antal tjurar.</t>
  </si>
  <si>
    <t>Ko</t>
  </si>
  <si>
    <t>Målsättning (treårsmedlevärde) för antal kor.</t>
  </si>
  <si>
    <t>Kalv</t>
  </si>
  <si>
    <t>Målsättning (treårsmedlevärde) för antal kalvar.</t>
  </si>
  <si>
    <t>Totalt</t>
  </si>
  <si>
    <t>Summerad målsättning (treårsmedlevärde).</t>
  </si>
  <si>
    <t>Mål för vinterstam</t>
  </si>
  <si>
    <t>Vinterstam älg/ 1000 ha</t>
  </si>
  <si>
    <t xml:space="preserve">efter jakt </t>
  </si>
  <si>
    <t>Uttryck målsättningen ovan i antal älgar med en decimal per hektar registrerad jaktmark inom ÄSO för respektive år.</t>
  </si>
  <si>
    <t>Kvalitativ målsättning för treårsperioden (3-års medelvärden)</t>
  </si>
  <si>
    <t>Kvalitativa målsättningar för älgstammen inom ÄSO, uttyckt i treårsmedlevärden. Relateras till Länsplaner.</t>
  </si>
  <si>
    <t>Andel tjur av vuxna:</t>
  </si>
  <si>
    <t>i älgobs</t>
  </si>
  <si>
    <t>Målsättning (treårsmedlevärde) för tjurandel av vuxna älgar i älgobs, ange i procent som heltal.</t>
  </si>
  <si>
    <t>Antal kalvar per hondjur:</t>
  </si>
  <si>
    <t>uttryckt som ett decimaltal enligt älgobs</t>
  </si>
  <si>
    <t>Målsättning (treårsmedelvärde) för antal kalvar per hondjur i älgobs, ange med en decimal.</t>
  </si>
  <si>
    <t>Målsättning kalvandel i avskjutning:</t>
  </si>
  <si>
    <t>av totala avskjutningen</t>
  </si>
  <si>
    <t>Målsättning (treårsmedelvärde) för kalvandel i total avskjutning, ange i procent som heltal.</t>
  </si>
  <si>
    <t>Slaktvikter kalv (kg)</t>
  </si>
  <si>
    <t>i medelvikt för alla vägda kalvar från jaktstart</t>
  </si>
  <si>
    <t>Likartat avskjutningsförfarande år från år ger ett rättvisande medelvärde, oavsett kalvarnas kön och när på året de skjuts.</t>
  </si>
  <si>
    <t>Redogörelse av inventeringsundelag för beräkning av älgstammens sammansättning i området.</t>
  </si>
  <si>
    <r>
      <rPr>
        <b/>
        <sz val="16"/>
        <color theme="1"/>
        <rFont val="Calibri"/>
        <family val="2"/>
      </rPr>
      <t xml:space="preserve">1.2 Övergripande målsättningar för skogens utveckling inom </t>
    </r>
    <r>
      <rPr>
        <b/>
        <i/>
        <u/>
        <sz val="16"/>
        <color theme="1"/>
        <rFont val="Calibri"/>
        <family val="2"/>
      </rPr>
      <t>ÄLGFÖRVALTNINGSOMRÅDET</t>
    </r>
  </si>
  <si>
    <t>Tallar</t>
  </si>
  <si>
    <t>Maximal årsskada (vinterskada + sommarskada)</t>
  </si>
  <si>
    <t>Ange i %</t>
  </si>
  <si>
    <t>Skadenivå för ÄFO enligt resultat från Äbin. Anges i procent med en decimal.</t>
  </si>
  <si>
    <t>Granar</t>
  </si>
  <si>
    <t>ANDEL oskadade av klövvilt vid 5 m</t>
  </si>
  <si>
    <t>Målsättning avseende Äbinsiffror för inventerade tallar inom ÄFO som helhet. Anges i procent, heltal.</t>
  </si>
  <si>
    <t>ANTAL oskadade av klövvilt vid 5 m</t>
  </si>
  <si>
    <t>Ange i stammar/hektar</t>
  </si>
  <si>
    <t>Antal oskadade stammar per hektar uttryckt som medelvärde för ÄFO enligt Äbin. Anges i stammar per hektar, heltal.</t>
  </si>
  <si>
    <t>2. NULÄGESBESKRIVNINGAR</t>
  </si>
  <si>
    <t>2.1 Uppgifter om älgstammen inom älgskötselområdet</t>
  </si>
  <si>
    <t>Uppgifter om älgstammen och redovisning av inventeringar enligt föreslagna kvalitetssäkrade metoder.</t>
  </si>
  <si>
    <t xml:space="preserve">2.1.1 Den totala avskjutningen inom ÄSO på årsbasis </t>
  </si>
  <si>
    <t>Data hämtas från Älgportalens databas</t>
  </si>
  <si>
    <t>Bör avse de senaste tre årens avskjutning.</t>
  </si>
  <si>
    <t>https://www.slu.se/algforvaltning</t>
  </si>
  <si>
    <t>År</t>
  </si>
  <si>
    <t>Avskjutningssiffror hämtas från Älgdata.se eller via Länsstyrelsen</t>
  </si>
  <si>
    <t>Hondjur</t>
  </si>
  <si>
    <t>Automatisk summering av raderna ovan</t>
  </si>
  <si>
    <t>Totalt per 1000 ha</t>
  </si>
  <si>
    <t>Automatisk beräkning baserad på raderna ovan och areal för respektive år</t>
  </si>
  <si>
    <t>Areal (ha för respektive år)</t>
  </si>
  <si>
    <t>Areal för ÄSO respektive år anges</t>
  </si>
  <si>
    <t>Sammanställning av avskjutningen de senaste tre åren för uppföljning av kvalitetsmålen.</t>
  </si>
  <si>
    <t>Tjurandel avskj. (tjur/vuxna)</t>
  </si>
  <si>
    <t>Automatisk beräkning baserad på raderna ovan</t>
  </si>
  <si>
    <t>Kalvandel avskj. (kalv/totalt)</t>
  </si>
  <si>
    <t>Kommentarer/ Redogörelse av olikheter inom området.</t>
  </si>
  <si>
    <t xml:space="preserve">2.1.2 Älgobservationer (älgobs) </t>
  </si>
  <si>
    <t>Minst de senaste fyra årens älgobs jämförs för att trenden i älgpopulationen ska kunna följas.</t>
  </si>
  <si>
    <t>Medel</t>
  </si>
  <si>
    <t>Antal obstimmar</t>
  </si>
  <si>
    <t>Ska överstiga 5000 timmar för att vara statistiskt acceptabelt. Rödmarkera värden om understiger.</t>
  </si>
  <si>
    <t>Observationer per mantimme</t>
  </si>
  <si>
    <t>Uttrycks som decimaltal med 3 decimaler</t>
  </si>
  <si>
    <t>Antal kalvar per hondjur</t>
  </si>
  <si>
    <t>Uttrycks som decimaltal med 2 decimaler</t>
  </si>
  <si>
    <t>Andel tjur av vuxna</t>
  </si>
  <si>
    <t>Uttrycks som ett heltal i %</t>
  </si>
  <si>
    <t xml:space="preserve">2.1.3 Spillningsinventering </t>
  </si>
  <si>
    <t>Antal provytor</t>
  </si>
  <si>
    <t>Antal provytor i inventeringen</t>
  </si>
  <si>
    <t>Antal dagar i inventeringsperiod</t>
  </si>
  <si>
    <t>Från rensningsdatum eller bedömt lövfällningsdatum till inventeringsdatum</t>
  </si>
  <si>
    <t>Antal funna spillningshögar</t>
  </si>
  <si>
    <t>Antal funna spillningshögar i inventeringen</t>
  </si>
  <si>
    <t>Spillningshögar per älg och dygn</t>
  </si>
  <si>
    <t>Antal spillningshögar per älg och dygn</t>
  </si>
  <si>
    <t>Antal högar per ruta (täthetsindex)</t>
  </si>
  <si>
    <t>Medelantal spillningshögar per provyta</t>
  </si>
  <si>
    <t>Vinterstam i antal/1000 ha (max)</t>
  </si>
  <si>
    <t>Skattning av älgtäthet i absoluta tal. Ifylls  om konfidensintervallet för inventeringen har beräknats (max i konfidensintervallet)</t>
  </si>
  <si>
    <t>Vinterstam i antal/1000 ha (min)</t>
  </si>
  <si>
    <t>Skattning av älgtäthet i absoluta tal.  Ifylls om konfidensintervallet för inventeringen har beräknats (min i konfidensintervallet)</t>
  </si>
  <si>
    <t>Vinterstam i antal/1000 ha (medel)</t>
  </si>
  <si>
    <t xml:space="preserve">Skattning av älgtäthet i absoluta tal </t>
  </si>
  <si>
    <t>Skattning av älgtäthet i absoluta tal. Ifylls om underlag för rad 95-98 skanas eller om kofidensintervallet för inventeringen har beräknats (medeltal i konfidensintervallet).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</si>
  <si>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</si>
  <si>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2.1.4 Kalvvikter - vikt utan huvud, hud, skankar och inälvor före skottrensning</t>
  </si>
  <si>
    <t xml:space="preserve">Medelslaktvikten för samtliga fällda och vägda älgkalvar inom ÄSO från de senaste tre åren.  </t>
  </si>
  <si>
    <t>Antal vägda kalvar</t>
  </si>
  <si>
    <t>Slaktvikt kg septemberjakt (vägda)</t>
  </si>
  <si>
    <t>Medelvikter för alla vägda kalvar skjutna under septemberjakten</t>
  </si>
  <si>
    <t>Slaktvikt kg oktoberjakt (vägda)</t>
  </si>
  <si>
    <t>Medelvikter för alla vägda kalvar skjutna från och med oktober</t>
  </si>
  <si>
    <t>Slaktvikt kg medel (vägda)</t>
  </si>
  <si>
    <t>Medelvikter för alla vägda kalvar, såväl tjurkalvar som kvigkalvar</t>
  </si>
  <si>
    <t>2.1.5 Vuxna vikter - vikt utan huvud, hud, skankar och inälvor före skottrensning</t>
  </si>
  <si>
    <t>Data hämtas från Viltdata eller Jaktrapport, beroende på vad äsot använder</t>
  </si>
  <si>
    <t xml:space="preserve">Medelslaktvikten för samtliga fällda och vägda vuxna älgar inom äso från de senaste tre åren.  </t>
  </si>
  <si>
    <t>Antal vägda kor</t>
  </si>
  <si>
    <t>Slaktvikt kg (vägda) kor</t>
  </si>
  <si>
    <t>Medelvikter för alla vägda vuxna tjurar</t>
  </si>
  <si>
    <t>Antal vägda tjurar</t>
  </si>
  <si>
    <t>Slaktvikt kg (vägda) tjurar</t>
  </si>
  <si>
    <t>Medelvikter för alla vägda vuxna kor</t>
  </si>
  <si>
    <t>2.1.6 Medelålder</t>
  </si>
  <si>
    <t xml:space="preserve">Medelålder för samtliga fällda och tandsnittade vuxna älgar inom äso från de senaste tre åren.  </t>
  </si>
  <si>
    <t>Antal åldersbestämda kor</t>
  </si>
  <si>
    <t>Medelålder år (tandsnitt) kor</t>
  </si>
  <si>
    <t>Medelålder för alla tandsnittade vuxna kor</t>
  </si>
  <si>
    <t>Antal åldersbestämda tjurar</t>
  </si>
  <si>
    <t>Medelålder år (tandsnitt) tjurar</t>
  </si>
  <si>
    <t>Medelålder för alla tandsnittade vuxna tjurar</t>
  </si>
  <si>
    <t>2.1.7 Reproduktion</t>
  </si>
  <si>
    <t xml:space="preserve">Antal utstötta ägg per hondjur från livmoderundersökningar inom äso från de senaste tre åren.  </t>
  </si>
  <si>
    <t>Antal utstötta ägg per hondjur och år från livmoderundersökningar inom äso</t>
  </si>
  <si>
    <t>Antal  analyserade kor</t>
  </si>
  <si>
    <t>Ägg per hondjur (livmoderanalys)</t>
  </si>
  <si>
    <t xml:space="preserve">2.1.8 Flyginventering </t>
  </si>
  <si>
    <t>Årtal för inventeringen</t>
  </si>
  <si>
    <t>Ange antal enligt skattningen</t>
  </si>
  <si>
    <t>Summerad skattning av stammens numerär</t>
  </si>
  <si>
    <t xml:space="preserve">2.1.9 Bedömning av den nuvarande älgstammen inom älgskötselområdet </t>
  </si>
  <si>
    <t>Antal de senaste 3 åren</t>
  </si>
  <si>
    <t>Ökat</t>
  </si>
  <si>
    <t>Minskat</t>
  </si>
  <si>
    <t>Älgstammen har</t>
  </si>
  <si>
    <t>Bästa bedömning utifrån tillgängliga underlag såsom älgobs, spillningsinventering och avskjutning</t>
  </si>
  <si>
    <t>Vinterstam, älg/1000 ha</t>
  </si>
  <si>
    <t>Bästa bedömning utifrån tillgängligt underlag. Ange med en decimal.</t>
  </si>
  <si>
    <t xml:space="preserve">Beräknad sammansättning andel vid periodens start </t>
  </si>
  <si>
    <t>Antal älgar</t>
  </si>
  <si>
    <t>Beräknad fördelning</t>
  </si>
  <si>
    <t>Antal älgar/1000 ha</t>
  </si>
  <si>
    <t>% tjur av vuxna</t>
  </si>
  <si>
    <t>Beräknad fördelning baseras på områdets historiska data.</t>
  </si>
  <si>
    <t>Ko/kviga</t>
  </si>
  <si>
    <t>Summa</t>
  </si>
  <si>
    <t>Kvalitet de senaste 3 åren</t>
  </si>
  <si>
    <t>Tjurandelen</t>
  </si>
  <si>
    <t>Bästa bedömning utifrån tillgängligt underlag. Markera med kryss.</t>
  </si>
  <si>
    <t>Medelåldern</t>
  </si>
  <si>
    <t>Kalvvikterna</t>
  </si>
  <si>
    <t>Reproduktionen</t>
  </si>
  <si>
    <t xml:space="preserve">2.1.10 Sammanställt beräkningsunderlag för analys i Älgfrode </t>
  </si>
  <si>
    <t>Aktuell Älgfrode laddas ner från:</t>
  </si>
  <si>
    <t>Data till Älgfrode</t>
  </si>
  <si>
    <t>Älgstammens egenskaper</t>
  </si>
  <si>
    <t>http://www.naturforvaltning.se/vad-vi-goer/aelgfrode.aspx</t>
  </si>
  <si>
    <t>Områdets areal i ha</t>
  </si>
  <si>
    <t>Enligt älgobs</t>
  </si>
  <si>
    <t>Medel 4 år</t>
  </si>
  <si>
    <t>Senaste år</t>
  </si>
  <si>
    <t>Observera att älgfrode inte använder historisk avskjutning korrekt i beräkningen om områdets areal har förändrats senase året.</t>
  </si>
  <si>
    <t>Målsättning</t>
  </si>
  <si>
    <t>Användning av älgobsdata i Älgfrode, se intruktion i beräkningsprogrammet</t>
  </si>
  <si>
    <t>Antal älgar per 1000 ha</t>
  </si>
  <si>
    <t>Antal kalvar per vuxet hondjur</t>
  </si>
  <si>
    <t>Enligt avskjutning</t>
  </si>
  <si>
    <t>% tjurkalv av alla kalvar</t>
  </si>
  <si>
    <t xml:space="preserve">Andel tjurkalv i populationen utgår från normalfördelning (ej beräknat). Om beräknad avskjutning användas så bör det vara en tydlig och dokumenterad avvikelse mot normalfördelningen </t>
  </si>
  <si>
    <t>över ett större område.Se statistik "Fällda älgar" i älgdata på ÄFO-nivå för en flerårsperiod på minst tre år.</t>
  </si>
  <si>
    <t>Avskjutning</t>
  </si>
  <si>
    <t>Dödlighet utöver jakt</t>
  </si>
  <si>
    <t>Rovdjur</t>
  </si>
  <si>
    <t>Trafik</t>
  </si>
  <si>
    <t>Övrigt</t>
  </si>
  <si>
    <t>Antal vuxna tjurar</t>
  </si>
  <si>
    <t>Antal vuxna tjurar per år</t>
  </si>
  <si>
    <t>Antal vuxna hondjur</t>
  </si>
  <si>
    <t>Antal vuxna hondjur per år</t>
  </si>
  <si>
    <t>Antal kalvar</t>
  </si>
  <si>
    <t>Antal kalvar per år</t>
  </si>
  <si>
    <t>Älgstammens storlek</t>
  </si>
  <si>
    <t>Bedömd eller beräknad sammansättning enligt Älgfrode antal vid periodens slut (utökad uppgift ej obligatorisk)</t>
  </si>
  <si>
    <t>Ifylls om det finns invetering som styrker en annan fördelning än den beräknade sammansättningen. OBS! endast kvalitetssäkrade inventeringsmetoder.</t>
  </si>
  <si>
    <t>Alternativt kan värden hämtas från älgfrode</t>
  </si>
  <si>
    <t>Inventerad fördelning eller beräknad fördelning enligt Älgfrode.</t>
  </si>
  <si>
    <t>Fyll i antal tjurar</t>
  </si>
  <si>
    <t>Fyll i antal vuxna hondjur</t>
  </si>
  <si>
    <t>Fyll i antal kalvar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</si>
  <si>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</si>
  <si>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2.2 Inventeringar av skogstillståndet inom älgskötselområdet </t>
  </si>
  <si>
    <t>Uppgifter om skogstillståndet och redovisning av inventeringar enligt föreslagna kvalitetssäkrade metoder.</t>
  </si>
  <si>
    <r>
      <rPr>
        <i/>
        <sz val="14"/>
        <color theme="1"/>
        <rFont val="Calibri"/>
        <family val="2"/>
      </rPr>
      <t xml:space="preserve">2.2.1 Fodertillgång och skadeläge på skog enligt Skogsstyrelsens foderprognoser och Äbin inom </t>
    </r>
    <r>
      <rPr>
        <b/>
        <i/>
        <u/>
        <sz val="14"/>
        <color theme="1"/>
        <rFont val="Calibri"/>
        <family val="2"/>
      </rPr>
      <t>ÄFOt</t>
    </r>
  </si>
  <si>
    <t>https://www.skogsstyrelsen.se/statistik/statistik-efter-amne/abin-och-andra-skogliga-betesinventeringar/</t>
  </si>
  <si>
    <t>Fodertillgång och prognos</t>
  </si>
  <si>
    <t>https://www.skogsstyrelsen.se/statistik/statistik-efter-amne/abin-och-andra-skogliga-betesinventeringar/abin/</t>
  </si>
  <si>
    <t>Areal ungskog</t>
  </si>
  <si>
    <t>Total ungskogsareal i ÄFO enligt Skogsstyrelsens foderprognos, uttryckt i hektar. Sammanställning finns i senaste ÄBIN-rapport för ÄLGFÖRVLATNINGSOMRÅDET</t>
  </si>
  <si>
    <t>RASE (rönn, asp, sälg, ek), andel ytor med förekomst</t>
  </si>
  <si>
    <t>Andel ytor av totalt inventerade ytor där någon RASE förekommer</t>
  </si>
  <si>
    <t>Utveckling kommande 5 åren</t>
  </si>
  <si>
    <t>Ökande</t>
  </si>
  <si>
    <t>Minskande</t>
  </si>
  <si>
    <t>Areal tallfoder</t>
  </si>
  <si>
    <t>Markera med kryss om särskild kunskap avseende tallfoderutvecklingen finns.</t>
  </si>
  <si>
    <t>Övriga uppgifter om skogstillståndet enligt Äbin</t>
  </si>
  <si>
    <t>Årsskada (vinterskador + sommarskador)</t>
  </si>
  <si>
    <t>Äbin resultatrapport: "Årsskada (vinterskada+sommarskada) - andel viltskadade tallstammar det senaste året". Uttrycks i % med heltal.</t>
  </si>
  <si>
    <t>Andel stammar utan viltskador</t>
  </si>
  <si>
    <t>Äbin resultatrapport: "Andel tallstammar utan viltskador". Uttrycks i % med heltal.</t>
  </si>
  <si>
    <t>Ståndortsanpassning</t>
  </si>
  <si>
    <t>Andel mager mark föryngrad med tall</t>
  </si>
  <si>
    <t>Äbin resultatrapport: "Andel ungskog på mager mark som är föryngrad med tall". Uttrycks i % med heltal.</t>
  </si>
  <si>
    <t>RASE</t>
  </si>
  <si>
    <t>Andel ytor med gynnsam konkurrensstatus</t>
  </si>
  <si>
    <t>Äbin resultatrapport: "Andel provytor med gynnsam konkurrensstatus" avseende RASE. Uttrycks i % med heltal.</t>
  </si>
  <si>
    <t>Äbin resultatrapport: "Årsskada (vinterskada+skommarskada)" avseende gran. Uttrycks i % med heltal.</t>
  </si>
  <si>
    <t>2.2.2 Bedömt betetryck i avsaknad av Äbin eller som komplettering till Äbin</t>
  </si>
  <si>
    <t>För</t>
  </si>
  <si>
    <t>Tolerabla</t>
  </si>
  <si>
    <t>För omfattande</t>
  </si>
  <si>
    <t>Tall</t>
  </si>
  <si>
    <t>Markera bedömt nuläge med kryss.</t>
  </si>
  <si>
    <t>Gran</t>
  </si>
  <si>
    <t>RASE, välj alternativ i lista</t>
  </si>
  <si>
    <t>Omhändertas istället av:</t>
  </si>
  <si>
    <t>Välj i lista</t>
  </si>
  <si>
    <t>Välj alternativ i lista utifrån gruppens bedömning</t>
  </si>
  <si>
    <t>Bedömningen grundar sig på</t>
  </si>
  <si>
    <t xml:space="preserve">2.3 Redovisning av skador på gröda </t>
  </si>
  <si>
    <t>Omfattning</t>
  </si>
  <si>
    <t>Markera med kryss</t>
  </si>
  <si>
    <t>Redogörelse för typ av skador och var skadorna har förekommit.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</si>
  <si>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</si>
  <si>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2.4 Redovisning av rapporterade viltolyckor med älg </t>
  </si>
  <si>
    <t xml:space="preserve">Vilttrafikolyckorna med älg de senaste 3 åren </t>
  </si>
  <si>
    <t>Data hämtas från Älgportalens databas?</t>
  </si>
  <si>
    <t>Älgolyckor inom ÄSO, antal</t>
  </si>
  <si>
    <t>Antal trafikolyckor med älg inom ÄSO om uppgift finns</t>
  </si>
  <si>
    <t>Tjur, trafikdödad</t>
  </si>
  <si>
    <t>Antal trafikdödade älgar inom ÄSO om uppgift finns</t>
  </si>
  <si>
    <t>Hondjur, trafikdödad</t>
  </si>
  <si>
    <t>Kalv, trafikdödad</t>
  </si>
  <si>
    <t>Okänd, trafikdödad</t>
  </si>
  <si>
    <t>Summa trafikdödade älgar</t>
  </si>
  <si>
    <t>Automatisk summering av trafikdödade älgar inom ÄSO</t>
  </si>
  <si>
    <t>2.5 Övrig dödlighet</t>
  </si>
  <si>
    <t>Ange antal inom ÄSO om uppgift finns</t>
  </si>
  <si>
    <t>Okänd</t>
  </si>
  <si>
    <t>Automatisk summering av övriga döda älgar inom ÄSO</t>
  </si>
  <si>
    <t xml:space="preserve">2.6 Redovisning av rovdjursförekomst och predationstryck </t>
  </si>
  <si>
    <t xml:space="preserve">Predation inom ÄSO </t>
  </si>
  <si>
    <t>Vargrevir</t>
  </si>
  <si>
    <t>% av reviret som berör ÄSO</t>
  </si>
  <si>
    <t>Predation i reviret antal</t>
  </si>
  <si>
    <t>Predation vuxen älg</t>
  </si>
  <si>
    <t>Predation kalv</t>
  </si>
  <si>
    <t>Revirets predation i ÄSOt</t>
  </si>
  <si>
    <t>Predation/ 1000 ha</t>
  </si>
  <si>
    <t>Ange revirets namn, andel som berör ÄSOt samt bedömd predation av antal älgar i hela reviret</t>
  </si>
  <si>
    <t>Summa:</t>
  </si>
  <si>
    <t>Summa vargpredation inom ÄSOt</t>
  </si>
  <si>
    <t>Björntäthet per 100 000 ha</t>
  </si>
  <si>
    <t>Antal björnar inom ÄSO</t>
  </si>
  <si>
    <t>Predation per vuxen björn</t>
  </si>
  <si>
    <t>Björnens predation i ÄSOt</t>
  </si>
  <si>
    <t>Ange bedömd björntäthet per 100 000 ha samt bedömd predation per vuxen björn</t>
  </si>
  <si>
    <t>S:a predation:</t>
  </si>
  <si>
    <t>Summa varg- och björnpredation inom ÄSOt</t>
  </si>
  <si>
    <t>Förutsättningar för ovanstående:</t>
  </si>
  <si>
    <t>Vargpredationen bör beräknas till 100-140 älgar/revir. I beräkningen utgörs predationen av 82% kalv och 18% vuxna.</t>
  </si>
  <si>
    <t>Björnpredationen bör beräknas till ca 7 älgar per vuxen björn. I beräkningen utgörs predationen av 93% kalv och 7% vuxna.</t>
  </si>
  <si>
    <t>Andelen vuxen björn utgör 50% i beräkningen.</t>
  </si>
  <si>
    <t>3. SAMMANFATTNING MÅL OCH NULÄGE</t>
  </si>
  <si>
    <t>Mål</t>
  </si>
  <si>
    <t>Nuläge</t>
  </si>
  <si>
    <t>Trend</t>
  </si>
  <si>
    <t>Åtgärdsförslag</t>
  </si>
  <si>
    <t>Ange främst trender avseende senaste årens data för respektive rad genom att välja ett alternativ i listan.</t>
  </si>
  <si>
    <t>Vinterstam, älgar per 1000ha registrerad jaktareal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</si>
  <si>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</t>
    </r>
  </si>
  <si>
    <t>Vinterstam, antal älgar totalt inom ÄSO</t>
  </si>
  <si>
    <t>Mål = slutmål för planperioden, nuläge från förra året. Uttrycks i antal älgar totalt inom ÄSO.</t>
  </si>
  <si>
    <t>Andel tjur av vuxna i älgobs</t>
  </si>
  <si>
    <t>Nuläge = medelvärde för senaste tre åren</t>
  </si>
  <si>
    <t>Antal kalvar per hondjur i älgobs</t>
  </si>
  <si>
    <t>Kalvandel i avskjutning</t>
  </si>
  <si>
    <t>Färska skador tallar/produktionstammar, max</t>
  </si>
  <si>
    <t>Uttrycks främst som trend, nuläge = medelvärde för senaste tre åren</t>
  </si>
  <si>
    <t>Nuläge hämtas från tabell under avsnitt 2.2.1 om värde finns</t>
  </si>
  <si>
    <t>Fodersituation enligt foderprognos</t>
  </si>
  <si>
    <t>Uttrycks som trend och/eller i antal älgar i vinterstam per 1000 ha ungskog</t>
  </si>
  <si>
    <t>Älgolyckor inom ÄSO, antal totalt</t>
  </si>
  <si>
    <t>Nuläge = förra årets värde</t>
  </si>
  <si>
    <t>Övrig dödlighet, antal älgar inom ÄSO</t>
  </si>
  <si>
    <t>Predation, antal älgar inom ÄSO</t>
  </si>
  <si>
    <t>4. HANDLINGSPLAN FRÅN NULÄGE TILL MÅLUPPFYLLNAD</t>
  </si>
  <si>
    <t xml:space="preserve">4.1 Avskjutning för älgskötselområdet </t>
  </si>
  <si>
    <t>Avskjutning baseras på:</t>
  </si>
  <si>
    <t>Ange om avskjutningsplanen baseras på beräkningsmodellen eller eget förslag.</t>
  </si>
  <si>
    <t>Avskjutning tjurar enligt vald beräkningsmodell alternativt eget förslag</t>
  </si>
  <si>
    <t>Avskjutning hondjur enligt vald beräkningsmodell alternativt eget förslag</t>
  </si>
  <si>
    <t>Avskjutning kalvar enligt vald beräkningsmodell alternativt eget förslag</t>
  </si>
  <si>
    <t>Antal älgar totalt</t>
  </si>
  <si>
    <t>Summa avskjutning enligt vald beräkningsmodell alternativt eget förslag</t>
  </si>
  <si>
    <t>Andel tjur av vuxna (%)</t>
  </si>
  <si>
    <t>Andel tjurar i avskjutning enligt vald beräkningsmodell alternativt eget förslag</t>
  </si>
  <si>
    <t>Andel kalv av total avskjutning (%)</t>
  </si>
  <si>
    <t>Andel kalvar i avskjutning enligt vald beräkningsmodell alternativt eget förslag</t>
  </si>
  <si>
    <t>Aktuell areal respektive år, krävs för korrekt beräkning om arealändringar skett</t>
  </si>
  <si>
    <t>Total avskjutning uttryckt i älgar per 1000 hektar</t>
  </si>
  <si>
    <t>Motivering för avvikelse jämfört med beräkningsmodellens förslag</t>
  </si>
  <si>
    <t xml:space="preserve">4.2 Planerade inventeringar </t>
  </si>
  <si>
    <t>Äbin</t>
  </si>
  <si>
    <t>Markera med kryss om inventering ska genomföras</t>
  </si>
  <si>
    <t>Spillningsinventering</t>
  </si>
  <si>
    <t>Flyginventering</t>
  </si>
  <si>
    <t>Avskjutningsstatistik</t>
  </si>
  <si>
    <t>Markera med kryss om information ska inhämtas och användas i förvaltningen</t>
  </si>
  <si>
    <t>Älgobs</t>
  </si>
  <si>
    <t>Kalvvikter</t>
  </si>
  <si>
    <t>Foderprognoser</t>
  </si>
  <si>
    <t>Kommentarer</t>
  </si>
  <si>
    <t>5. ÖVRIGT</t>
  </si>
  <si>
    <t>5.1 Redogörelse för samråd och förankringsprocessen inom äso.</t>
  </si>
  <si>
    <t>Denna älgskötselplan har utformats i samråd med berörda fastighetsägare och jakträttshavare.</t>
  </si>
  <si>
    <t>Underskrift av företrädaren för ÄSOt</t>
  </si>
  <si>
    <t>Företrädare för älgskötselområdet</t>
  </si>
  <si>
    <t>Namnförtydligande</t>
  </si>
  <si>
    <t>Datum:</t>
  </si>
  <si>
    <t>Älgskötselplanen tillstyrks av älgförvaltningsgruppen</t>
  </si>
  <si>
    <t>Älgskötselplanen tillstyrks inte av älgförvaltningsgruppen</t>
  </si>
  <si>
    <t>Underskrift av ordförande för ÄFOt</t>
  </si>
  <si>
    <t>För älgförvaltningsgruppen</t>
  </si>
  <si>
    <t>Kan även anges i separat bilaga</t>
  </si>
  <si>
    <t>Motivering eller avvikande mening</t>
  </si>
  <si>
    <t>5.2 Bilagor</t>
  </si>
  <si>
    <t>Komplettera med bilagor som använts som inventeringsunderlag/rapporter och beräkningsunderlag (Älfrode-bifoga samtliga sidor)</t>
  </si>
  <si>
    <t>Trender</t>
  </si>
  <si>
    <t>Betestryck RASE</t>
  </si>
  <si>
    <t>Svagt</t>
  </si>
  <si>
    <t>Hårt</t>
  </si>
  <si>
    <t>Revidering plan orsak</t>
  </si>
  <si>
    <t>Nytt ÄSO</t>
  </si>
  <si>
    <t>Ändrad omfattning ÄSO</t>
  </si>
  <si>
    <t>Ny planperiod</t>
  </si>
  <si>
    <t>I period pga ändrade förhållanden</t>
  </si>
  <si>
    <t>I period pga ändrad areal</t>
  </si>
  <si>
    <t>Län</t>
  </si>
  <si>
    <t>nr</t>
  </si>
  <si>
    <t>afoLst</t>
  </si>
  <si>
    <t>Valbara nr</t>
  </si>
  <si>
    <t>AfoId</t>
  </si>
  <si>
    <t>AfoNamn</t>
  </si>
  <si>
    <t>AfoBet</t>
  </si>
  <si>
    <t>01</t>
  </si>
  <si>
    <t>Stockholms län</t>
  </si>
  <si>
    <t>Norrtälje Norra</t>
  </si>
  <si>
    <t>01-001</t>
  </si>
  <si>
    <t>03</t>
  </si>
  <si>
    <t>Uppsala län</t>
  </si>
  <si>
    <t>Sigtuna</t>
  </si>
  <si>
    <t>01-002</t>
  </si>
  <si>
    <t>04</t>
  </si>
  <si>
    <t>Södermanlands län</t>
  </si>
  <si>
    <t>Mälaröarna</t>
  </si>
  <si>
    <t>01-003</t>
  </si>
  <si>
    <t>05</t>
  </si>
  <si>
    <t>Östergötlands län</t>
  </si>
  <si>
    <t>Södertörn</t>
  </si>
  <si>
    <t>01-004</t>
  </si>
  <si>
    <t>06</t>
  </si>
  <si>
    <t>Jönköpings län</t>
  </si>
  <si>
    <t>Skärgården</t>
  </si>
  <si>
    <t>01-005</t>
  </si>
  <si>
    <t>07</t>
  </si>
  <si>
    <t>Kronobergs län</t>
  </si>
  <si>
    <t>Vallentuna/Närtuna</t>
  </si>
  <si>
    <t>01-006</t>
  </si>
  <si>
    <t>08</t>
  </si>
  <si>
    <t>Kalmar län</t>
  </si>
  <si>
    <t>Norrtälje Södra</t>
  </si>
  <si>
    <t>01-007</t>
  </si>
  <si>
    <t>10</t>
  </si>
  <si>
    <t>Blekinge län</t>
  </si>
  <si>
    <t>Södertälje</t>
  </si>
  <si>
    <t>01-008</t>
  </si>
  <si>
    <t>12</t>
  </si>
  <si>
    <t>Skåne län</t>
  </si>
  <si>
    <t>Östervåla Älgförvaltningsområde</t>
  </si>
  <si>
    <t>03-001</t>
  </si>
  <si>
    <t>13</t>
  </si>
  <si>
    <t>Hallands län</t>
  </si>
  <si>
    <t>Österbybruks Älgförvaltningsområde</t>
  </si>
  <si>
    <t>03-002</t>
  </si>
  <si>
    <t>14</t>
  </si>
  <si>
    <t>Västra Götalands län</t>
  </si>
  <si>
    <t>Norra Upplandskustens Älgförvaltningsområde</t>
  </si>
  <si>
    <t>03-003</t>
  </si>
  <si>
    <t>17</t>
  </si>
  <si>
    <t>Värmlands län</t>
  </si>
  <si>
    <t>Almunge Älgförvaltningsområde</t>
  </si>
  <si>
    <t>03-004</t>
  </si>
  <si>
    <t>18</t>
  </si>
  <si>
    <t>Örebro län</t>
  </si>
  <si>
    <t>Ekoln-Trögdens Älgförvaltningsområde</t>
  </si>
  <si>
    <t>03-005</t>
  </si>
  <si>
    <t>19</t>
  </si>
  <si>
    <t>Västmanlands län</t>
  </si>
  <si>
    <t>Fjärdhundra Älgförvaltningsområde</t>
  </si>
  <si>
    <t>03-006</t>
  </si>
  <si>
    <t>20</t>
  </si>
  <si>
    <t>Dalarnas län</t>
  </si>
  <si>
    <t>Älgförvaltningsområde 1</t>
  </si>
  <si>
    <t>04-001</t>
  </si>
  <si>
    <t>21</t>
  </si>
  <si>
    <t>Gävleborgs län</t>
  </si>
  <si>
    <t>Älgförvaltningsområde 2</t>
  </si>
  <si>
    <t>04-002</t>
  </si>
  <si>
    <t>22</t>
  </si>
  <si>
    <t>Västernorrland län</t>
  </si>
  <si>
    <t>Älgförvaltningsområde 3</t>
  </si>
  <si>
    <t>04-003</t>
  </si>
  <si>
    <t>23</t>
  </si>
  <si>
    <t>Jämtlands län</t>
  </si>
  <si>
    <t>Älgförvaltningsområde 4</t>
  </si>
  <si>
    <t>04-004</t>
  </si>
  <si>
    <t>24</t>
  </si>
  <si>
    <t>Västerbottens län</t>
  </si>
  <si>
    <t>Älgdörvaltningsområde 5</t>
  </si>
  <si>
    <t>04-005</t>
  </si>
  <si>
    <t>25</t>
  </si>
  <si>
    <t>Norrbottens län</t>
  </si>
  <si>
    <t>Älgförvaltningsområde 6</t>
  </si>
  <si>
    <t>04-006</t>
  </si>
  <si>
    <t>Älgförvaltningsområde 7</t>
  </si>
  <si>
    <t>04-007</t>
  </si>
  <si>
    <t>Öka-minska lista</t>
  </si>
  <si>
    <t>Älgförvaltningsområde 8</t>
  </si>
  <si>
    <t>04-008</t>
  </si>
  <si>
    <t>Älgförvaltningsområde 9</t>
  </si>
  <si>
    <t>04-009</t>
  </si>
  <si>
    <t>1 Finspång del av Norrköpings kommun</t>
  </si>
  <si>
    <t>05-001</t>
  </si>
  <si>
    <t>2 Vikbolandet och kusten öster om E 22 ner till länsgränsen</t>
  </si>
  <si>
    <t>05-002</t>
  </si>
  <si>
    <t>3 Åtvidaberg samt del av Linköping, Valdemarsvik,Söderköping</t>
  </si>
  <si>
    <t>05-003</t>
  </si>
  <si>
    <t>4 Boxholm samt del av Linköping, Mjölby och Ödeshög</t>
  </si>
  <si>
    <t>05-004</t>
  </si>
  <si>
    <t>5  Kinda</t>
  </si>
  <si>
    <t>05-005</t>
  </si>
  <si>
    <t>6 Vadstenaslätten mellan Motala Ström och E4:an</t>
  </si>
  <si>
    <t>05-006</t>
  </si>
  <si>
    <t>7 Ydre</t>
  </si>
  <si>
    <t>05-007</t>
  </si>
  <si>
    <t>8 Motala och del av Linköpings kommun</t>
  </si>
  <si>
    <t>05-008</t>
  </si>
  <si>
    <t>ÄFO 1</t>
  </si>
  <si>
    <t>06-001</t>
  </si>
  <si>
    <t>ÄFO 2</t>
  </si>
  <si>
    <t>06-002</t>
  </si>
  <si>
    <t>ÄFO 3</t>
  </si>
  <si>
    <t>06-003</t>
  </si>
  <si>
    <t>ÄFO 4</t>
  </si>
  <si>
    <t>06-004</t>
  </si>
  <si>
    <t>ÄFO 5</t>
  </si>
  <si>
    <t>06-005</t>
  </si>
  <si>
    <t>ÄFO 6</t>
  </si>
  <si>
    <t>06-006</t>
  </si>
  <si>
    <t>ÄFO 7</t>
  </si>
  <si>
    <t>06-007</t>
  </si>
  <si>
    <t>ÄFO 8</t>
  </si>
  <si>
    <t>06-008</t>
  </si>
  <si>
    <t>07-001</t>
  </si>
  <si>
    <t>07-002</t>
  </si>
  <si>
    <t>07-003</t>
  </si>
  <si>
    <t>07-004</t>
  </si>
  <si>
    <t>07-005</t>
  </si>
  <si>
    <t>07-006</t>
  </si>
  <si>
    <t>07-007</t>
  </si>
  <si>
    <t>1. Västervik norra</t>
  </si>
  <si>
    <t>08-001</t>
  </si>
  <si>
    <t>2. Västervik södra</t>
  </si>
  <si>
    <t>08-002</t>
  </si>
  <si>
    <t>3. Vimmerby</t>
  </si>
  <si>
    <t>08-003</t>
  </si>
  <si>
    <t>4. Hultsfred</t>
  </si>
  <si>
    <t>08-004</t>
  </si>
  <si>
    <t>5. Oskarshamn</t>
  </si>
  <si>
    <t>08-005</t>
  </si>
  <si>
    <t>6. Emåns</t>
  </si>
  <si>
    <t>08-006</t>
  </si>
  <si>
    <t>7. Kalmar västra</t>
  </si>
  <si>
    <t>08-007</t>
  </si>
  <si>
    <t>8. Kalmarsunds</t>
  </si>
  <si>
    <t>08-008</t>
  </si>
  <si>
    <t>9. Ölands</t>
  </si>
  <si>
    <t>08-009</t>
  </si>
  <si>
    <t>10. Kalmar södra</t>
  </si>
  <si>
    <t>08-010</t>
  </si>
  <si>
    <t>Blekinge Väst</t>
  </si>
  <si>
    <t>10-001</t>
  </si>
  <si>
    <t>Blekinge Mitt</t>
  </si>
  <si>
    <t>10-002</t>
  </si>
  <si>
    <t>Blekinge Öst</t>
  </si>
  <si>
    <t>10-003</t>
  </si>
  <si>
    <t>Södra älgförvaltningsområdet</t>
  </si>
  <si>
    <t>12-001</t>
  </si>
  <si>
    <t>Mellersta Älgförvaltningsområdet</t>
  </si>
  <si>
    <t>12-002</t>
  </si>
  <si>
    <t>Mellersta Norra älgförvaltningsområdet</t>
  </si>
  <si>
    <t>12-003</t>
  </si>
  <si>
    <t>Nordvästra älgförvaltningsområdet</t>
  </si>
  <si>
    <t>12-004</t>
  </si>
  <si>
    <t>Nordöstra älgförvaltningsområdet</t>
  </si>
  <si>
    <t>12-005</t>
  </si>
  <si>
    <t>Norra älgförvaltningsområdet</t>
  </si>
  <si>
    <t>13-001</t>
  </si>
  <si>
    <t>Centrala älgförvaltningsområdet</t>
  </si>
  <si>
    <t>13-002</t>
  </si>
  <si>
    <t>Östra älgförvaltningsområdet</t>
  </si>
  <si>
    <t>13-003</t>
  </si>
  <si>
    <t>13-004</t>
  </si>
  <si>
    <t>Älgförvaltningsområde 1 Norra Dal</t>
  </si>
  <si>
    <t>14-003</t>
  </si>
  <si>
    <t>Älgförvaltningsområde 2 Norra Bohuslän</t>
  </si>
  <si>
    <t>14-004</t>
  </si>
  <si>
    <t>14-005</t>
  </si>
  <si>
    <t>14-006</t>
  </si>
  <si>
    <t>Älgförvaltningsområde 5</t>
  </si>
  <si>
    <t>14-002</t>
  </si>
  <si>
    <t>Älgförvaltningsområde 6 Norra Skaraborgs äfo</t>
  </si>
  <si>
    <t>14-007</t>
  </si>
  <si>
    <t>14-001</t>
  </si>
  <si>
    <t>14-008</t>
  </si>
  <si>
    <t>Älgförvaltningsområde 9 ÄFG söder R40</t>
  </si>
  <si>
    <t>14-009</t>
  </si>
  <si>
    <t>Finnskoga-Dalby ÄFO</t>
  </si>
  <si>
    <t>17-003</t>
  </si>
  <si>
    <t>Ljusnans ÄFO</t>
  </si>
  <si>
    <t>17-004</t>
  </si>
  <si>
    <t>Fryken-Glafsfjorden ÄFO</t>
  </si>
  <si>
    <t>17-005</t>
  </si>
  <si>
    <t>Klarälven-Fryken ÄFO</t>
  </si>
  <si>
    <t>17-006</t>
  </si>
  <si>
    <t>Örtens ÄFO</t>
  </si>
  <si>
    <t>17-002</t>
  </si>
  <si>
    <t>Wermlandsbergs ÄFO</t>
  </si>
  <si>
    <t>17-007</t>
  </si>
  <si>
    <t>Glaskogens ÄFO</t>
  </si>
  <si>
    <t>17-008</t>
  </si>
  <si>
    <t>Vänerbygdens ÄFO</t>
  </si>
  <si>
    <t>17-009</t>
  </si>
  <si>
    <t>Bergslagskanalens ÄFO</t>
  </si>
  <si>
    <t>17-001</t>
  </si>
  <si>
    <t>Vänern-Möckeln  ÄFO</t>
  </si>
  <si>
    <t>17-010</t>
  </si>
  <si>
    <t>1. Hökhöjden</t>
  </si>
  <si>
    <t>18-001</t>
  </si>
  <si>
    <t>2. Malingsbo</t>
  </si>
  <si>
    <t>18-002</t>
  </si>
  <si>
    <t>3. Kilsbergen</t>
  </si>
  <si>
    <t>18-003</t>
  </si>
  <si>
    <t>4. Frövi</t>
  </si>
  <si>
    <t>18-004</t>
  </si>
  <si>
    <t>5. Örebro läns västra</t>
  </si>
  <si>
    <t>18-005</t>
  </si>
  <si>
    <t>6. Kvismaren</t>
  </si>
  <si>
    <t>18-006</t>
  </si>
  <si>
    <t>7. Tiveden</t>
  </si>
  <si>
    <t>18-007</t>
  </si>
  <si>
    <t>8. Närkesberg</t>
  </si>
  <si>
    <t>18-008</t>
  </si>
  <si>
    <t>Fagersta-Möklinta ÄFO 1</t>
  </si>
  <si>
    <t>19-001</t>
  </si>
  <si>
    <t>Gunnilbo ÄFO 2</t>
  </si>
  <si>
    <t>19-002</t>
  </si>
  <si>
    <t>Skultuna ÄFO 3</t>
  </si>
  <si>
    <t>19-003</t>
  </si>
  <si>
    <t>Köping-Västerås ÄFO 4</t>
  </si>
  <si>
    <t>19-004</t>
  </si>
  <si>
    <t>Kungsör ÄFO 5</t>
  </si>
  <si>
    <t>19-005</t>
  </si>
  <si>
    <t>Särna-Idre älgförvaltningsområde</t>
  </si>
  <si>
    <t>20-001</t>
  </si>
  <si>
    <t>Transtrands älgförvaltningsområde</t>
  </si>
  <si>
    <t>20-002</t>
  </si>
  <si>
    <t>Älvdalens älgförvaltningsområde</t>
  </si>
  <si>
    <t>20-003</t>
  </si>
  <si>
    <t>Noppikoski älgförvaltningsområde</t>
  </si>
  <si>
    <t>20-004</t>
  </si>
  <si>
    <t>Malungs västra älgförvaltningsområde</t>
  </si>
  <si>
    <t>20-005</t>
  </si>
  <si>
    <t>Malungs östra-Venjans älgförvaltningsområde</t>
  </si>
  <si>
    <t>20-006</t>
  </si>
  <si>
    <t>Siljansringens älgförvaltningsområde</t>
  </si>
  <si>
    <t>20-007</t>
  </si>
  <si>
    <t>Bingsjö älgförvaltningsområde</t>
  </si>
  <si>
    <t>20-008</t>
  </si>
  <si>
    <t>Siljansnäs älgförvaltningsområde</t>
  </si>
  <si>
    <t>20-009</t>
  </si>
  <si>
    <t>Bjursås älgförvaltningsområde</t>
  </si>
  <si>
    <t>20-010</t>
  </si>
  <si>
    <t>Gimmens älgförvaltningsområde</t>
  </si>
  <si>
    <t>20-011</t>
  </si>
  <si>
    <t>Lumshedens älgförvaltningsområde</t>
  </si>
  <si>
    <t>20-012</t>
  </si>
  <si>
    <t>Fredriksbergs älgförvaltningsområde</t>
  </si>
  <si>
    <t>20-013</t>
  </si>
  <si>
    <t>Gyllbergens älgförvaltningsområde</t>
  </si>
  <si>
    <t>20-014</t>
  </si>
  <si>
    <t>Gävle-Dala älgförvaltningsområde</t>
  </si>
  <si>
    <t>20-015</t>
  </si>
  <si>
    <t>Norns älgförvaltningsområde</t>
  </si>
  <si>
    <t>20-016</t>
  </si>
  <si>
    <t>Strömsbruk</t>
  </si>
  <si>
    <t>21-001</t>
  </si>
  <si>
    <t>Norra Hälsingland</t>
  </si>
  <si>
    <t>21-002</t>
  </si>
  <si>
    <t>Ljusdal-Ramsjö</t>
  </si>
  <si>
    <t>21-003</t>
  </si>
  <si>
    <t>Voxna</t>
  </si>
  <si>
    <t>21-004</t>
  </si>
  <si>
    <t>Ljusnan-Voxnan</t>
  </si>
  <si>
    <t>21-005</t>
  </si>
  <si>
    <t>Öster-Ljusnan</t>
  </si>
  <si>
    <t>21-006</t>
  </si>
  <si>
    <t>Långvind</t>
  </si>
  <si>
    <t>21-007</t>
  </si>
  <si>
    <t>Ödmorden</t>
  </si>
  <si>
    <t>21-008</t>
  </si>
  <si>
    <t>Ljusne</t>
  </si>
  <si>
    <t>21-009</t>
  </si>
  <si>
    <t>Trödje</t>
  </si>
  <si>
    <t>21-010</t>
  </si>
  <si>
    <t>Söder Voxnan</t>
  </si>
  <si>
    <t>21-011</t>
  </si>
  <si>
    <t>Gruvberget</t>
  </si>
  <si>
    <t>21-012</t>
  </si>
  <si>
    <t>Södra Gästrikland</t>
  </si>
  <si>
    <t>21-013</t>
  </si>
  <si>
    <t>Furuvik</t>
  </si>
  <si>
    <t>21-014</t>
  </si>
  <si>
    <t>Örnsköldsvik</t>
  </si>
  <si>
    <t>22-001</t>
  </si>
  <si>
    <t>Älvarna</t>
  </si>
  <si>
    <t>22-002</t>
  </si>
  <si>
    <t>Strömsund/Sollefteå</t>
  </si>
  <si>
    <t>23-001</t>
  </si>
  <si>
    <t>Hammerdal/Ragunda</t>
  </si>
  <si>
    <t>23-002</t>
  </si>
  <si>
    <t>Västjämtland</t>
  </si>
  <si>
    <t>23-003</t>
  </si>
  <si>
    <t>Östersund/Sundsvall</t>
  </si>
  <si>
    <t>23-004</t>
  </si>
  <si>
    <t>Berg</t>
  </si>
  <si>
    <t>23-005</t>
  </si>
  <si>
    <t>Härjedalen</t>
  </si>
  <si>
    <t>23-006</t>
  </si>
  <si>
    <t>24-001</t>
  </si>
  <si>
    <t>Mellersta älgförvaltningsområdet</t>
  </si>
  <si>
    <t>24-002</t>
  </si>
  <si>
    <t>Sydvästra älgförvaltningsområdet</t>
  </si>
  <si>
    <t>24-003</t>
  </si>
  <si>
    <t>24-004</t>
  </si>
  <si>
    <t>Sydöstra älgförvaltningsområdet</t>
  </si>
  <si>
    <t>24-005</t>
  </si>
  <si>
    <t>25-001</t>
  </si>
  <si>
    <t>25-002</t>
  </si>
  <si>
    <t>25-003</t>
  </si>
  <si>
    <t>25-004</t>
  </si>
  <si>
    <t>25-005</t>
  </si>
  <si>
    <t>25-006</t>
  </si>
  <si>
    <t>Namn_ASO</t>
  </si>
  <si>
    <t>Typ_Plan_Ny</t>
  </si>
  <si>
    <t>Typ_Plan_Rev</t>
  </si>
  <si>
    <t>Typ_Plan_Rev_Avsk</t>
  </si>
  <si>
    <t>Diarie_Nytt</t>
  </si>
  <si>
    <t>Diarie_Bef</t>
  </si>
  <si>
    <t>Diarie_Bef_Nr</t>
  </si>
  <si>
    <t>Ver_dat</t>
  </si>
  <si>
    <t>AFO_Nr</t>
  </si>
  <si>
    <t>AFO_namn</t>
  </si>
  <si>
    <t>LST_Nr</t>
  </si>
  <si>
    <t>Foretr_Fnamn</t>
  </si>
  <si>
    <t>Foretr_Enamn</t>
  </si>
  <si>
    <t>Foretr_Adr</t>
  </si>
  <si>
    <t>Foretr_Postadr</t>
  </si>
  <si>
    <t>Foretr_Tel1</t>
  </si>
  <si>
    <t>Foretr_Tel2</t>
  </si>
  <si>
    <t>Foretr_Epost</t>
  </si>
  <si>
    <t>Kont_Reg</t>
  </si>
  <si>
    <t>Kont_Ny</t>
  </si>
  <si>
    <t>Kont_andrad</t>
  </si>
  <si>
    <t>Roll_Ordf</t>
  </si>
  <si>
    <t>Roll_Sekr</t>
  </si>
  <si>
    <t>Roll_Annan</t>
  </si>
  <si>
    <t>Namn_Annan</t>
  </si>
  <si>
    <t>Fodelsedat</t>
  </si>
  <si>
    <t>Start_period</t>
  </si>
  <si>
    <t>Slut_period</t>
  </si>
  <si>
    <t>Reviderad_datum</t>
  </si>
  <si>
    <t>Reviderad_orsak</t>
  </si>
  <si>
    <t>Lan</t>
  </si>
  <si>
    <t>Lan_nr</t>
  </si>
  <si>
    <t>AFO_nr</t>
  </si>
  <si>
    <t>Fastst_LST</t>
  </si>
  <si>
    <t>Utv_antal_oka</t>
  </si>
  <si>
    <t>Utv_antal_ofor</t>
  </si>
  <si>
    <t>Utv_antal_minska</t>
  </si>
  <si>
    <t>Mal_vinterstam_ar_1</t>
  </si>
  <si>
    <t>Mal_vinterstam_ar_2</t>
  </si>
  <si>
    <t>Mal_vinterstam_ar_3</t>
  </si>
  <si>
    <t>Obs_tjur</t>
  </si>
  <si>
    <t>Obs_kalv_p_ko</t>
  </si>
  <si>
    <t>Mal_avsk_kalv_pr</t>
  </si>
  <si>
    <t>Mal_sl_vikt_kalv</t>
  </si>
  <si>
    <t>Stammar_andel_skada</t>
  </si>
  <si>
    <t>Stammar_varde_andel</t>
  </si>
  <si>
    <t>Stammar_antal_skada</t>
  </si>
  <si>
    <t>Stammar_varde_antal</t>
  </si>
  <si>
    <t>Stammar_max_skada</t>
  </si>
  <si>
    <t>Stammar_varde_max</t>
  </si>
  <si>
    <t>Avskj_tjur_2011</t>
  </si>
  <si>
    <t>Avskj_ko_2011</t>
  </si>
  <si>
    <t>Avskj_kalv_2011</t>
  </si>
  <si>
    <t>Areal_2011</t>
  </si>
  <si>
    <t>Obs_tim_sum_2010</t>
  </si>
  <si>
    <t>Obs_tim_sum_2011</t>
  </si>
  <si>
    <t>Obs_mantim_2010</t>
  </si>
  <si>
    <t>Obs_mantim_2011</t>
  </si>
  <si>
    <t>Obs_kalv_ko_2010</t>
  </si>
  <si>
    <t>Obs_kalv_ko_2011</t>
  </si>
  <si>
    <t>Tjur_vux_2010</t>
  </si>
  <si>
    <t>Tjur_vux_2011</t>
  </si>
  <si>
    <t>Sp_inv_ytor_2009</t>
  </si>
  <si>
    <t>Sp_inv_ytor_2010</t>
  </si>
  <si>
    <t>Sp_inv_ytor_2011</t>
  </si>
  <si>
    <t>Sp_inv_ytor_2012</t>
  </si>
  <si>
    <t>Sp_inv_ytor_2013</t>
  </si>
  <si>
    <t>Sp_inv_ytor_2014</t>
  </si>
  <si>
    <t>Sp_dagar_period_2009</t>
  </si>
  <si>
    <t>Sp_dagar_period_2010</t>
  </si>
  <si>
    <t>Sp_dagar_period_2011</t>
  </si>
  <si>
    <t>Sp_dagar_period_2012</t>
  </si>
  <si>
    <t>Sp_dagar_period_2013</t>
  </si>
  <si>
    <t>Sp_dagar_period_2014</t>
  </si>
  <si>
    <t>SP_spilln_st_2009</t>
  </si>
  <si>
    <t>SP_spilln_st_2010</t>
  </si>
  <si>
    <t>SP_spilln_st_2011</t>
  </si>
  <si>
    <t>SP_spilln_st_2012</t>
  </si>
  <si>
    <t>SP_spilln_st_2013</t>
  </si>
  <si>
    <t>SP_spilln_st_2014</t>
  </si>
  <si>
    <t>Sp_spilln_dygn_2009</t>
  </si>
  <si>
    <t>Sp_spilln_dygn_2010</t>
  </si>
  <si>
    <t>Sp_spilln_dygn_2011</t>
  </si>
  <si>
    <t>Sp_spilln_dygn_2012</t>
  </si>
  <si>
    <t>Sp_spilln_dygn_2013</t>
  </si>
  <si>
    <t>Sp_spilln_dygn_2014</t>
  </si>
  <si>
    <t>Kalvvikt_sep_2009</t>
  </si>
  <si>
    <t>Kalvvikt_sep_2010</t>
  </si>
  <si>
    <t>Kalvvikt_sep_2011</t>
  </si>
  <si>
    <t>Kalvvikt_sep_2012</t>
  </si>
  <si>
    <t>Kalvvikt_sep_2013</t>
  </si>
  <si>
    <t>Kalvvikt_okt_2009</t>
  </si>
  <si>
    <t>Kalvvikt_okt_2010</t>
  </si>
  <si>
    <t>Kalvvikt_okt_2011</t>
  </si>
  <si>
    <t>Kalvvikt_okt_2012</t>
  </si>
  <si>
    <t>Kalvvikt_okt_2013</t>
  </si>
  <si>
    <t>Kalvvikt_tot_2009</t>
  </si>
  <si>
    <t>Kalvvikt_tot_2010</t>
  </si>
  <si>
    <t>Kalvvikt_tot_2011</t>
  </si>
  <si>
    <t>Kalvvikt_tot_2012</t>
  </si>
  <si>
    <t>Kalvvikt_tot_2013</t>
  </si>
  <si>
    <t>Medelalder_ko_tot_2009</t>
  </si>
  <si>
    <t>Medelalder_ko_tot_2010</t>
  </si>
  <si>
    <t>Medelalder_ko_tot_2011</t>
  </si>
  <si>
    <t>Medelalder_ko_tot_2012</t>
  </si>
  <si>
    <t>Medelalder_ko_tot_2013</t>
  </si>
  <si>
    <t>Medelalder_tjur_tot_2009</t>
  </si>
  <si>
    <t>Medelalder_tjur_tot_2010</t>
  </si>
  <si>
    <t>Medelalder_tjur_tot_2011</t>
  </si>
  <si>
    <t>Medelalder_tjur_tot_2012</t>
  </si>
  <si>
    <t>Medelalder_tjur_tot_2013</t>
  </si>
  <si>
    <t>Repr_ko_ko_tot_2009</t>
  </si>
  <si>
    <t>Repr_ko_ko_tot_2010</t>
  </si>
  <si>
    <t>Repr_ko_ko_tot_2011</t>
  </si>
  <si>
    <t>Repr_ko_ko_tot_2012</t>
  </si>
  <si>
    <t>Repr_ko_ko_tot_2013</t>
  </si>
  <si>
    <t>Flyginv_ar_1</t>
  </si>
  <si>
    <t>Flyginv_ar_2</t>
  </si>
  <si>
    <t>Flyginv_ar_3</t>
  </si>
  <si>
    <t>Flyginv_tjur_ar_1</t>
  </si>
  <si>
    <t>Flyginv_tjur_ar_2</t>
  </si>
  <si>
    <t>Flyginv_tjur_ar_3</t>
  </si>
  <si>
    <t>Flyginv_ko_ar_1</t>
  </si>
  <si>
    <t>Flyginv_ko_ar_2</t>
  </si>
  <si>
    <t>Flyginv_ko_ar_3</t>
  </si>
  <si>
    <t>Flyginv_kalv_ar_1</t>
  </si>
  <si>
    <t>Flyginv_kalv_ar_2</t>
  </si>
  <si>
    <t>Flyginv_kalv_ar_3</t>
  </si>
  <si>
    <t>Flyginv_sum_ar_1</t>
  </si>
  <si>
    <t>Flyginv_sum_ar_2</t>
  </si>
  <si>
    <t>Flyginv_sum_ar_3</t>
  </si>
  <si>
    <t>Stam_sen_3_ar_okat</t>
  </si>
  <si>
    <t>Stam_sen_3_ar_oforadrad</t>
  </si>
  <si>
    <t>Stam_sen_3_ar_minskat</t>
  </si>
  <si>
    <t>Vinterst_ar_-5</t>
  </si>
  <si>
    <t>Vinterst_ar_-4</t>
  </si>
  <si>
    <t>Vinterst_ar_-3</t>
  </si>
  <si>
    <t>Vinterst_ar_-2</t>
  </si>
  <si>
    <t>Vinterst_ar_-1</t>
  </si>
  <si>
    <t>Tjurandel_3_ar_minskat</t>
  </si>
  <si>
    <t>Tjurandel_3_ar_oforadrad</t>
  </si>
  <si>
    <t>Tjurandel_3_ar_okat</t>
  </si>
  <si>
    <t>Medelalder_3_ar_minskat</t>
  </si>
  <si>
    <t>Medelalder_3_ar_oforandrad</t>
  </si>
  <si>
    <t>Medelalder_3_ar_okat</t>
  </si>
  <si>
    <t>Reprodukton_3_ar_minskat</t>
  </si>
  <si>
    <t>Reprodukton_3_ar_oforandrad</t>
  </si>
  <si>
    <t>Reprodukton_3_ar_okat</t>
  </si>
  <si>
    <t>Kalvvikt_3_ar_minskat</t>
  </si>
  <si>
    <t>Kalvvikt_3_ar_oforandrad</t>
  </si>
  <si>
    <t>Kalvvikt_3_ar_okat</t>
  </si>
  <si>
    <t>Bed_älgobs</t>
  </si>
  <si>
    <t>Bed_Sp_inv</t>
  </si>
  <si>
    <t>Sp_inv_utf_ar</t>
  </si>
  <si>
    <t>Bed_flyg_inv</t>
  </si>
  <si>
    <t>Flyg_inv_utf_ar</t>
  </si>
  <si>
    <t>Flyg_inv_typ</t>
  </si>
  <si>
    <t>Bed_annat_inv</t>
  </si>
  <si>
    <t>Foderpr_ar_-3</t>
  </si>
  <si>
    <t>Foderpr_ar_-2</t>
  </si>
  <si>
    <t>Foderpr_ar_-1</t>
  </si>
  <si>
    <t>Foderpr_ar_-0</t>
  </si>
  <si>
    <t>Foderpr_ar_1</t>
  </si>
  <si>
    <t>Foderpr_ar_2</t>
  </si>
  <si>
    <t>Foderpr_ar_3</t>
  </si>
  <si>
    <t>RASE_pr_ar_-2</t>
  </si>
  <si>
    <t>RASE_pr_ar_-1</t>
  </si>
  <si>
    <t>RASE_pr_ar_0</t>
  </si>
  <si>
    <t>Tallf_okat</t>
  </si>
  <si>
    <t>Tallf_oforandrad</t>
  </si>
  <si>
    <t>Tallf_minskat</t>
  </si>
  <si>
    <t>ABIN_val_1</t>
  </si>
  <si>
    <t>ABIN_val_1_ar_-3</t>
  </si>
  <si>
    <t>ABIN_val_1_ar_-2</t>
  </si>
  <si>
    <t>ABIN_val_1_ar_-1</t>
  </si>
  <si>
    <t>ABIN_val_1_ar_0</t>
  </si>
  <si>
    <t>ABIN_val_2</t>
  </si>
  <si>
    <t>ABIN_val_2_ar_-3</t>
  </si>
  <si>
    <t>ABIN_val_2_ar_-2</t>
  </si>
  <si>
    <t>ABIN_val_2_ar_-1</t>
  </si>
  <si>
    <t>ABIN_val_2_ar_0</t>
  </si>
  <si>
    <t>ABIN_val_3</t>
  </si>
  <si>
    <t>ABIN_val_3_ar_-3</t>
  </si>
  <si>
    <t>ABIN_val_3_ar_-2</t>
  </si>
  <si>
    <t>ABIN_val_3_ar_-1</t>
  </si>
  <si>
    <t>ABIN_val_3_ar_0</t>
  </si>
  <si>
    <t>ABIN_val_4</t>
  </si>
  <si>
    <t>ABIN_val_4_ar_-3</t>
  </si>
  <si>
    <t>ABIN_val_4_ar_-2</t>
  </si>
  <si>
    <t>ABIN_val_4_ar_-1</t>
  </si>
  <si>
    <t>ABIN_val_4_ar_0</t>
  </si>
  <si>
    <t>Tolererb_tall</t>
  </si>
  <si>
    <t>Otolererb_tall</t>
  </si>
  <si>
    <t>Tolererb_gran</t>
  </si>
  <si>
    <t>Otolererb_gran</t>
  </si>
  <si>
    <t>RASE_val_ar_-2</t>
  </si>
  <si>
    <t>RASE_val_ar_-1</t>
  </si>
  <si>
    <t>RASE_val_ar_0</t>
  </si>
  <si>
    <t>Bedomning_betestryck</t>
  </si>
  <si>
    <t>Skada_gr_tol</t>
  </si>
  <si>
    <t>Skada_gr_otol</t>
  </si>
  <si>
    <t>Redog_skador_gr</t>
  </si>
  <si>
    <t>Olyckor_ar_-3</t>
  </si>
  <si>
    <t>Olyckor_ar_-2</t>
  </si>
  <si>
    <t>Olyckor_ar_0</t>
  </si>
  <si>
    <t>Trafikd_tjur_ar_-3</t>
  </si>
  <si>
    <t>Trafikd_tjur_ar_-2</t>
  </si>
  <si>
    <t>Trafikd_tjur_ar_-1</t>
  </si>
  <si>
    <t>Trafikd_ko_ar_-3</t>
  </si>
  <si>
    <t>Trafikd_ko_ar_-2</t>
  </si>
  <si>
    <t>Trafikd_ko_ar_-1</t>
  </si>
  <si>
    <t>Trafikd_kalv_ar_-3</t>
  </si>
  <si>
    <t>Trafikd_kalv_ar_-2</t>
  </si>
  <si>
    <t>Trafikd_kalv_ar_-1</t>
  </si>
  <si>
    <t>Ovrd_tjur_ar_-3</t>
  </si>
  <si>
    <t>Ovrd_tjur_ar_-2</t>
  </si>
  <si>
    <t>Ovrd_tjur_ar_-1</t>
  </si>
  <si>
    <t>Ovrd_ko_ar_-3</t>
  </si>
  <si>
    <t>Ovrd_ko_ar_-2</t>
  </si>
  <si>
    <t>Ovrd_ko_ar_-1</t>
  </si>
  <si>
    <t>Ovrd_kalv_ar_-3</t>
  </si>
  <si>
    <t>Ovrd_kalv_ar_-2</t>
  </si>
  <si>
    <t>Ovrd_kalv_ar_-1</t>
  </si>
  <si>
    <t>Vargrevir_1</t>
  </si>
  <si>
    <t>Vargrevir_1_del_AFO</t>
  </si>
  <si>
    <t>Vargrevir_1_predation_antal</t>
  </si>
  <si>
    <t>Vargrevir_2</t>
  </si>
  <si>
    <t>Vargrevir_2_del_AFO</t>
  </si>
  <si>
    <t>Vargrevir_2_predation_antal</t>
  </si>
  <si>
    <t>Vargrevir_3</t>
  </si>
  <si>
    <t>Vargrevir_3_del_AFO</t>
  </si>
  <si>
    <t>Vargrevir_3_predation_antal</t>
  </si>
  <si>
    <t>Vargrevir_4</t>
  </si>
  <si>
    <t>Vargrevir_4_del_AFO</t>
  </si>
  <si>
    <t>Vargrevir_4_predation_antal</t>
  </si>
  <si>
    <t>Vargrevir_5</t>
  </si>
  <si>
    <t>Vargrevir_5_del_AFO</t>
  </si>
  <si>
    <t>Vargrevir_5_predation_antal</t>
  </si>
  <si>
    <t>Bjornt_AFO</t>
  </si>
  <si>
    <t>Pred_per_bjorn</t>
  </si>
  <si>
    <t>Trend_lista_1</t>
  </si>
  <si>
    <t>Trend_lista_2</t>
  </si>
  <si>
    <t>Trend_lista_3</t>
  </si>
  <si>
    <t>Trend_lista_4</t>
  </si>
  <si>
    <t>Trend_lista_5</t>
  </si>
  <si>
    <t>Trend_lista_6</t>
  </si>
  <si>
    <t>Trend_lista_7</t>
  </si>
  <si>
    <t>Trend_lista_8</t>
  </si>
  <si>
    <t>Trend_lista_9</t>
  </si>
  <si>
    <t>Trend_lista_10</t>
  </si>
  <si>
    <t>Trend_lista_11</t>
  </si>
  <si>
    <t>Trend_lista_12</t>
  </si>
  <si>
    <t>Atgard_lista_1</t>
  </si>
  <si>
    <t>Atgard_lista_2</t>
  </si>
  <si>
    <t>Atgard_lista_3</t>
  </si>
  <si>
    <t>Atgard_lista_4</t>
  </si>
  <si>
    <t>Atgard_lista_5</t>
  </si>
  <si>
    <t>Atgard_lista_6</t>
  </si>
  <si>
    <t>Atgard_lista_7</t>
  </si>
  <si>
    <t>Atgard_lista_8</t>
  </si>
  <si>
    <t>Atgard_lista_9</t>
  </si>
  <si>
    <t>Atgard_lista_10</t>
  </si>
  <si>
    <t>Atgard_lista_11</t>
  </si>
  <si>
    <t>Atgard_lista_12</t>
  </si>
  <si>
    <t>Avsk_mal_tjur_ar_1</t>
  </si>
  <si>
    <t>Avsk_mal_tjur_ar_2</t>
  </si>
  <si>
    <t>Avsk_mal_tjur_ar_3</t>
  </si>
  <si>
    <t>Avsk_mal_ko_ar_1</t>
  </si>
  <si>
    <t>Avsk_mal_ko_ar_2</t>
  </si>
  <si>
    <t>Avsk_mal_ko_ar_3</t>
  </si>
  <si>
    <t>Avsk_mal_kalv_ar_1</t>
  </si>
  <si>
    <t>Avsk_mal_kalv_ar_2</t>
  </si>
  <si>
    <t>Avsk_mal_kalv_ar_3</t>
  </si>
  <si>
    <t>Ber_frode</t>
  </si>
  <si>
    <t>Ber_egen</t>
  </si>
  <si>
    <t>Planerad_ABIN_ar_+1</t>
  </si>
  <si>
    <t>Planerad_ABIN_ar_+2</t>
  </si>
  <si>
    <t>Planerad_ABIN_ar_+3</t>
  </si>
  <si>
    <t>Planerad_spillninv_ar_+1</t>
  </si>
  <si>
    <t>Planerad_spillninv_ar_+2</t>
  </si>
  <si>
    <t>Planerad_spillninv_ar_+3</t>
  </si>
  <si>
    <t>Planerad_flyginv_ar_+1</t>
  </si>
  <si>
    <t>Planerad_flyginv_ar_+2</t>
  </si>
  <si>
    <t>Planerad_flyginv_ar_+3</t>
  </si>
  <si>
    <t>Planerad_avskinv_ar_+1</t>
  </si>
  <si>
    <t>Planerad_avskinv_ar_+2</t>
  </si>
  <si>
    <t>Planerad_avskinv_ar_+3</t>
  </si>
  <si>
    <t>Planerad_algobsinv_ar_+1</t>
  </si>
  <si>
    <t>Planerad_algobsinv_ar_+2</t>
  </si>
  <si>
    <t>Planerad_algobsinv_ar_+3</t>
  </si>
  <si>
    <t>Planerad_kalvviktinv_ar_+1</t>
  </si>
  <si>
    <t>Planerad_kalvviktinv_ar_+2</t>
  </si>
  <si>
    <t>Planerad_kalvviktinv_ar_+3</t>
  </si>
  <si>
    <t>Planerad_foderpr_ar_+1</t>
  </si>
  <si>
    <t>Planerad_foderpr_ar_+2</t>
  </si>
  <si>
    <t>Planerad_foderpr_ar_+3</t>
  </si>
  <si>
    <t>Utfall_vinterst_ar_0</t>
  </si>
  <si>
    <t>Utfall_vinterst_ar_1</t>
  </si>
  <si>
    <t>Utfall_vinterst_ar_2</t>
  </si>
  <si>
    <t>tjurandel_tjurandel_ar_0</t>
  </si>
  <si>
    <t>Utfall_tjurandel_ar_1</t>
  </si>
  <si>
    <t>Utfall_tjurandel_ar_2</t>
  </si>
  <si>
    <t>Utfall_repr_ar_0</t>
  </si>
  <si>
    <t>Utfall_repr_ar_1</t>
  </si>
  <si>
    <t>Utfall_repr_ar_2</t>
  </si>
  <si>
    <t>Utfall_kalvandel_ar_0</t>
  </si>
  <si>
    <t>Utfall_kalvandel_ar_1</t>
  </si>
  <si>
    <t>Utfall_kalvandel_ar_2</t>
  </si>
  <si>
    <t>AFP_enh_ant_ja</t>
  </si>
  <si>
    <t>AFP_enh_ant_nej</t>
  </si>
  <si>
    <t>Fullmakt_AFP_ja</t>
  </si>
  <si>
    <t>Fullmakt_AFP_nej</t>
  </si>
  <si>
    <t>Kommentar_1_1</t>
  </si>
  <si>
    <t>Kommentar_2_1_rad_1</t>
  </si>
  <si>
    <t>Kommentar_2_1_rad_2</t>
  </si>
  <si>
    <t>Kommentar_2_1_2_rad_1</t>
  </si>
  <si>
    <t>Kommentar_2_1_2_rad_2</t>
  </si>
  <si>
    <t>Kommentar_2_1_3_rad_1</t>
  </si>
  <si>
    <t>Kommentar_2_1_3_rad_2</t>
  </si>
  <si>
    <t>Kommentar_2_1_4_rad_1</t>
  </si>
  <si>
    <t>Kommentar_2_1_4_rad_2</t>
  </si>
  <si>
    <t>Kommentar_2_1_5_rad_1</t>
  </si>
  <si>
    <t>Kommentar_2_1_5_rad_2</t>
  </si>
  <si>
    <t>Kommentar_2_1_6_rad_1</t>
  </si>
  <si>
    <t>Kommentar_2_1_6_rad_2</t>
  </si>
  <si>
    <t>Kommentar_2_1_7_rad_1</t>
  </si>
  <si>
    <t>Kommentar_2_1_7_rad_2</t>
  </si>
  <si>
    <t>Kommentar_2_1_8_rad_1</t>
  </si>
  <si>
    <t>Kommentar_2_1_8_rad_2</t>
  </si>
  <si>
    <t>Kommentar_2_2_2_rad_1</t>
  </si>
  <si>
    <t>Kommentar_2_2_2_rad_2</t>
  </si>
  <si>
    <t>Kommentar_2_2_2_rad_3</t>
  </si>
  <si>
    <t>Kommentar_2_2_2_rad_4</t>
  </si>
  <si>
    <t>Motivering_4_1_rad_1</t>
  </si>
  <si>
    <t>Motivering_4_1_rad_2</t>
  </si>
  <si>
    <t>Kommentarer_4_3_rad_1</t>
  </si>
  <si>
    <t>Kommentarer_4_3_rad_2</t>
  </si>
  <si>
    <t>Sekr_namn</t>
  </si>
  <si>
    <t>Ordf_namn</t>
  </si>
  <si>
    <t>Tillsyrkt</t>
  </si>
  <si>
    <t>Ej_tillstyrkt</t>
  </si>
  <si>
    <t>Motivering_5_1_rad_1</t>
  </si>
  <si>
    <t>Motivering_5_1_rad_2</t>
  </si>
  <si>
    <t>Motivering_5_1_rad_3</t>
  </si>
  <si>
    <t>Underlag för beräkning av avskjutningen</t>
  </si>
  <si>
    <t>Underlaget hämtas från  punkt nr. i Älgskötselplanen</t>
  </si>
  <si>
    <t>Data från älgskötselplanen</t>
  </si>
  <si>
    <t xml:space="preserve">a. Den totala avskjutningen inom ÄSO på årsbasis </t>
  </si>
  <si>
    <t>Areal (respektive år)</t>
  </si>
  <si>
    <t>Medel 3 år</t>
  </si>
  <si>
    <t>Sammanställning av avskjutningen de senaste tre åren för uppföljning av kvalitetsmålen i punkt 7.</t>
  </si>
  <si>
    <t xml:space="preserve">b Övrig dödlighet inom ÄSO på årsbasis </t>
  </si>
  <si>
    <t>Predation</t>
  </si>
  <si>
    <t>Total övrig dödlighet inom ÄSO:</t>
  </si>
  <si>
    <t>* Baserat på beräknat antal djur i sommarstam</t>
  </si>
  <si>
    <t xml:space="preserve">c Beräkning av täthet, reproduktion och sammansättning inom ÄSO </t>
  </si>
  <si>
    <t>Obs/mantimme</t>
  </si>
  <si>
    <t>Kalv/hondjur</t>
  </si>
  <si>
    <t>Tjur/vuxna</t>
  </si>
  <si>
    <t>* Om värden saknas för fyra år beräknas medel på antal inventerade år.</t>
  </si>
  <si>
    <t xml:space="preserve">Spillningsinventering </t>
  </si>
  <si>
    <t>Medel 3 senaste år *</t>
  </si>
  <si>
    <t>älg/1000 ha</t>
  </si>
  <si>
    <t>* Om värden saknas för tre år beräknas medel på antal inventerade år.</t>
  </si>
  <si>
    <t xml:space="preserve">Flyginventering </t>
  </si>
  <si>
    <t>Övriga underlag (bifogas):</t>
  </si>
  <si>
    <t>Bedömning av älgstammens täthet</t>
  </si>
  <si>
    <t>Älgskötselområdet bedömmer älgstammens täthet (vinterstam) utifrån tillgängliga data och övriga erfarenheter</t>
  </si>
  <si>
    <t>Bedömd vinterstam</t>
  </si>
  <si>
    <t>Älgar per 1000 ha</t>
  </si>
  <si>
    <t>Motivering till ställningstagande</t>
  </si>
  <si>
    <t>Bedömning av älgstammens reproduktion</t>
  </si>
  <si>
    <t>Älgskötselområdet bedömmer älgstammens reproduktion utifrån tillgängliga data och övriga erfarenheter</t>
  </si>
  <si>
    <t>Bedömd reproduktion Kalvar per hondjur (observerad kalv per vuxet hondjur vid jakt)</t>
  </si>
  <si>
    <t>Kalv per hondjur</t>
  </si>
  <si>
    <t>Bedömning av områdets förväntade utveckling av kalvandelen i älgobsen.</t>
  </si>
  <si>
    <t>Bedömning av älgstammens sammansättning</t>
  </si>
  <si>
    <t>Älgskötselområdet bedömmer älgstammens sammansättning av andel tjur, hondjur och kalv (vinterstam) utifrån tillgängliga data och övriga erfarenheter</t>
  </si>
  <si>
    <t>Sammansättning enligt älgobs (medelvärde senaste 4 åren)</t>
  </si>
  <si>
    <t>Sommarstam</t>
  </si>
  <si>
    <t>Jaktuttag</t>
  </si>
  <si>
    <t>Efter jakt</t>
  </si>
  <si>
    <t xml:space="preserve">Beräknar på genomsnittet av de fyra sista årens älgobs med kompensation för det senaste jakårets avskjutning (djur som observerats och fällts under jakten) </t>
  </si>
  <si>
    <t>Ange faktor för avskjutningen beräknat som andel av vinterstammen</t>
  </si>
  <si>
    <t>Tjuavskj. föregående jakt i ÄSO</t>
  </si>
  <si>
    <t>Hondjursavskj. föreg.  jakt i ÄSO</t>
  </si>
  <si>
    <t>Kalvavskj. föregående jakt i ÄSO</t>
  </si>
  <si>
    <t xml:space="preserve">Bedömd sammansättning andel vid periodens start </t>
  </si>
  <si>
    <t>Bedömning övrig dödlighet under perioden</t>
  </si>
  <si>
    <t>(förutom rovdjurspredation som redovisas direkt i avskjutningsberäkningen)</t>
  </si>
  <si>
    <t>Areal</t>
  </si>
  <si>
    <t>Antal älgar i vinterstam</t>
  </si>
  <si>
    <t>Faktor för reproduktion</t>
  </si>
  <si>
    <t>Antal älgar i sommarstam</t>
  </si>
  <si>
    <t>Medeltal antal döda älgar per år</t>
  </si>
  <si>
    <t>Dödlighet %</t>
  </si>
  <si>
    <t>Känd övrig dödlighet i populationen baserat på redovisad genomsnittlig dödlighet i skötselplanen.</t>
  </si>
  <si>
    <t>Känd övrig dödlighet</t>
  </si>
  <si>
    <t>Ange faktor för stammens reprodkton uttryckt som utveckling från vinterstam till sommarstam (normala värden 1,3-1,5)</t>
  </si>
  <si>
    <t>Bedömd övrig dödlighet under perioden</t>
  </si>
  <si>
    <t>Övrig dödlighet i populationen. Nomalt hittas inta alla döda djur värdet är därför högre än den kända övriga dödligheten.</t>
  </si>
  <si>
    <t>Avskjutningsberäkning</t>
  </si>
  <si>
    <t>Perioden</t>
  </si>
  <si>
    <t>tom.</t>
  </si>
  <si>
    <t>år</t>
  </si>
  <si>
    <t>Reproduktion</t>
  </si>
  <si>
    <t>Dödlighet</t>
  </si>
  <si>
    <t>ha</t>
  </si>
  <si>
    <t>Vinterstam (efter jakt)</t>
  </si>
  <si>
    <t>älgar/1000 ha</t>
  </si>
  <si>
    <t>Andel tjurkalv</t>
  </si>
  <si>
    <t>Andel tjukalv av födda kalvar, normalt är andelen födda tjurkalvar större än andelen föda kvigkalvar</t>
  </si>
  <si>
    <t>Predation innan jaktstart</t>
  </si>
  <si>
    <t>Kompenation för predationen som sker innan älgobsen genomförs.Älgobsen används för beräkning av reproduktionstalet.</t>
  </si>
  <si>
    <t>Vinterstam</t>
  </si>
  <si>
    <t>Antal</t>
  </si>
  <si>
    <t>Antal/1000 ha</t>
  </si>
  <si>
    <t>Tjur/vux</t>
  </si>
  <si>
    <t>Tjurandel av vux</t>
  </si>
  <si>
    <t>Sammansättning %</t>
  </si>
  <si>
    <t>Tillförsel djur (1 åringar och repr.)</t>
  </si>
  <si>
    <t>Rovdjurspredation</t>
  </si>
  <si>
    <t>Övrig dödlighet</t>
  </si>
  <si>
    <t>Sammanställning</t>
  </si>
  <si>
    <t>Område</t>
  </si>
  <si>
    <t>Beräknas</t>
  </si>
  <si>
    <t>Kommentar</t>
  </si>
  <si>
    <t>Antal högar</t>
  </si>
  <si>
    <t>Antal dagar *</t>
  </si>
  <si>
    <t>Datum invent- ering *</t>
  </si>
  <si>
    <t>Datum rensning (om höst-rensning)</t>
  </si>
  <si>
    <t>Antal provytor beräkning</t>
  </si>
  <si>
    <t>Antal dagar</t>
  </si>
  <si>
    <t>% av tot inventering</t>
  </si>
  <si>
    <t>Täthetsindex (konstant total beräkning)</t>
  </si>
  <si>
    <t>Vinterstam (Konstant total beräkning)</t>
  </si>
  <si>
    <t>Invstart(endast för beräkning)</t>
  </si>
  <si>
    <t>Invdag medel (endast för beräkning)</t>
  </si>
  <si>
    <t>Faktor SANT/FALSKT</t>
  </si>
  <si>
    <t>Fnamn Enamn 1</t>
  </si>
  <si>
    <t>Inventeringsområde 1</t>
  </si>
  <si>
    <t>Fnamn Enamn 2</t>
  </si>
  <si>
    <t>Inventeringsområde 2</t>
  </si>
  <si>
    <t>Fnamn Enamn 3</t>
  </si>
  <si>
    <t>Inventeringsområde 3</t>
  </si>
  <si>
    <t>Fnamn Enamn 4</t>
  </si>
  <si>
    <t>Inventeringsområde 4</t>
  </si>
  <si>
    <t>Fnamn Enamn 5</t>
  </si>
  <si>
    <t>Inventeringsområde 5</t>
  </si>
  <si>
    <t>Fnamn Enamn 6</t>
  </si>
  <si>
    <t>Inventeringsområde 6</t>
  </si>
  <si>
    <t>Fnamn Enamn 7</t>
  </si>
  <si>
    <t>Inventeringsområde 7</t>
  </si>
  <si>
    <t>Fnamn Enamn 8</t>
  </si>
  <si>
    <t>Inventeringsområde 8</t>
  </si>
  <si>
    <t>Fnamn Enamn 9</t>
  </si>
  <si>
    <t>Inventeringsområde 9</t>
  </si>
  <si>
    <t>Fnamn Enamn 10</t>
  </si>
  <si>
    <t>Inventeringsområde 10</t>
  </si>
  <si>
    <t>Inventeingsområden totalt resultat (viktat medelvärde)</t>
  </si>
  <si>
    <t>* ange antingen "Antal dagar" eller "Datum inventering"</t>
  </si>
  <si>
    <t>Område för ifyllning av inventerindsdata eller faktorer</t>
  </si>
  <si>
    <t>Område för beräkningsvärden (ifylls ej)</t>
  </si>
  <si>
    <t>Område med resultat (ifylls ej)</t>
  </si>
  <si>
    <t>Faktorer</t>
  </si>
  <si>
    <t>Inventeringsperiodens start (lövfällningsdatum)</t>
  </si>
  <si>
    <t>Anlys inventeringsperiod (+ eller - antal dagar lövfällning)</t>
  </si>
  <si>
    <t>Defekationshastighet (spillningshögar/dygn)</t>
  </si>
  <si>
    <t>Datum rensning (om höstrensning)</t>
  </si>
  <si>
    <t>Fördelning vinterstam 2)</t>
  </si>
  <si>
    <t xml:space="preserve">2) Beräknad från fördelning i avskjutning,älgobs och bedömd vinterstam </t>
  </si>
  <si>
    <t>1) Genomsnittligt ökning från vinter till älgstammens sammansättning i vid jakt enligt redovisad älgobs</t>
  </si>
  <si>
    <t>Beräknad reproduktionsfaktor 1)</t>
  </si>
  <si>
    <t>- Gul är obligatoriska fält och hämtas i första hand från portalen*</t>
  </si>
  <si>
    <t>- Brunröd är valfria fält</t>
  </si>
  <si>
    <t>- Ljusblå, data som förs över till älgfrode</t>
  </si>
  <si>
    <t>- Grå, data som kan hämtas från älgfrode</t>
  </si>
  <si>
    <t>- Gröna fält ifylls av Länsstyrelsen</t>
  </si>
  <si>
    <t>- Vita fält beräknas/fylls med automatik</t>
  </si>
  <si>
    <t xml:space="preserve">* Uppgifter som är ifyllda när planen öppnas hämtas från databasen i älgdata.se. Andra obligatoriska uppgifter fyll in manuellt. </t>
  </si>
  <si>
    <t>Ytteligare statistik som behövs för att ta fram planen finns på www.älgdata.se, och på andra hemsidor (se länkar i planmallen och på www.älgdata.se)</t>
  </si>
  <si>
    <t>Arbetsgång</t>
  </si>
  <si>
    <t>- Fyll i fliken "Ärendekort"</t>
  </si>
  <si>
    <t>- Avskjutningsberäningen görs i älgfrode efter att uppgifterna till punkt 4. "HANDLINGSPLAN FRÅN NULÄGE TILL MÅLUPPFYLLNAD" har fyllts i (huvudsakligen)</t>
  </si>
  <si>
    <t>- Vid behov kan man behöva arbeta vidare i en punkt längre fram i planen eller växla till älgfrode under arbetet för bästa resultat</t>
  </si>
  <si>
    <t>- Fyll i avskjutningen i planen.</t>
  </si>
  <si>
    <t>- Underteckna och lämna planen till älgförvaltningsgruppen och Länsstyrelsen enligt de rutiner som fastställts i länet</t>
  </si>
  <si>
    <t>Synpunkter</t>
  </si>
  <si>
    <t>Skötselplanen har utvecklats i nära samarbete med  representanter för jägarnas-, markägarnas och skogsbrukets organisationer. Ambitionen är ett verktyg som fyller behovet i den adaptiva älgförvalningen.</t>
  </si>
  <si>
    <t>För att kunna förbättra planmallen i framtiden tar vi gärna emot konkreta förslag och synpunkter. Skickas till:</t>
  </si>
  <si>
    <t>algdata@lansstyrelsen.se</t>
  </si>
  <si>
    <t xml:space="preserve">- Ta fram fliken "Skötselplan", följ instuktionerna </t>
  </si>
  <si>
    <t>Versionshantering</t>
  </si>
  <si>
    <t>Rättning/Ändring</t>
  </si>
  <si>
    <t>Version 2.1 uppdaterad 2018-04-18</t>
  </si>
  <si>
    <t>Plats</t>
  </si>
  <si>
    <t>Förutsättningar ÄFP-mall uppdaterade</t>
  </si>
  <si>
    <t>Flik "Förutsättningar"</t>
  </si>
  <si>
    <t>Ny funktion. Ärendekort, för hantering av ärende och personuppgifter (flyttats från Skötselplanen)</t>
  </si>
  <si>
    <t>Mål för vinterstam älg/1000 ha (delmål inom period borttagna)</t>
  </si>
  <si>
    <t>Punkt 1.1</t>
  </si>
  <si>
    <t>Skogliga mål anpassade enligt ÄBIN redovisning mm.</t>
  </si>
  <si>
    <t>Punkt 1.2</t>
  </si>
  <si>
    <t>Ny funktion. Beräknad sammansättning vid periodens start</t>
  </si>
  <si>
    <t>Ny funkton. Sammanställt beräkningsvärde för analys i Älgfrode</t>
  </si>
  <si>
    <t>Punkt 2.1.10</t>
  </si>
  <si>
    <t>Ny funktion. Beräkning medelvärde älgobs</t>
  </si>
  <si>
    <t>Punkt 2.1.2</t>
  </si>
  <si>
    <t>Flik "Ärendekort"</t>
  </si>
  <si>
    <t>Punkt 3</t>
  </si>
  <si>
    <t>Älgstammens egenskaper enligt älgobs. Medel 2 år ändrad till Medel 3 år (anpassning till parametrar i Älgfrode)</t>
  </si>
  <si>
    <t>Buggrättning. Färska skador tallar/produktionstammar, max</t>
  </si>
  <si>
    <t>Sammanfattning mål och nuläge, uppdaterad</t>
  </si>
  <si>
    <t>Version 2.0 uppdaterad 2018-03-16</t>
  </si>
  <si>
    <t>Punkt 2.1.9</t>
  </si>
  <si>
    <t>Versionshantering från 2018-03-16 införd</t>
  </si>
  <si>
    <t>Halasjö ÄSO</t>
  </si>
  <si>
    <t>10-04-01-001-Ä</t>
  </si>
  <si>
    <t>ÄFO V</t>
  </si>
  <si>
    <t>Klart sjunkande vinterstam målet inte uppnått</t>
  </si>
  <si>
    <t>0.7</t>
  </si>
  <si>
    <t>Spillningsinventering och Älgobs ger ej ett ordentligt underlag då området har för få rutor och Älgobs ger för få mantimmar &lt; 5000 man timmar</t>
  </si>
  <si>
    <t>För lite provytor för att få ett statistisk säkerställt resultat</t>
  </si>
  <si>
    <t>Införda restriktioner på antal taggar (4-8 fredade) har gjort att avskjutningen inrtiktats på "pinntjur"</t>
  </si>
  <si>
    <t xml:space="preserve"> </t>
  </si>
  <si>
    <t>Dan Olsson</t>
  </si>
  <si>
    <t>Revidering</t>
  </si>
  <si>
    <t>till och med 2024/2025</t>
  </si>
  <si>
    <t>Bökemålavägen 30-30</t>
  </si>
  <si>
    <t>37495 trensum</t>
  </si>
  <si>
    <t>alg.kron@gmail.com</t>
  </si>
  <si>
    <t>0706165034</t>
  </si>
  <si>
    <t>KG Bergqvist</t>
  </si>
  <si>
    <t>0709-319991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</si>
</sst>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_ ;\-#,##0\ "/>
    <numFmt numFmtId="166" formatCode="0&quot; kg&quot;"/>
    <numFmt numFmtId="167" formatCode="0&quot; %&quot;"/>
    <numFmt numFmtId="168" formatCode="0.0%"/>
    <numFmt numFmtId="169" formatCode="0.00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8"/>
      <color indexed="8"/>
      <name val="Calibri"/>
      <family val="2"/>
    </font>
    <font>
      <b/>
      <sz val="11"/>
      <color indexed="62"/>
      <name val="Calibri"/>
      <family val="2"/>
    </font>
    <font>
      <i/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i/>
      <u/>
      <sz val="16"/>
      <color theme="1"/>
      <name val="Calibri"/>
      <family val="2"/>
    </font>
    <font>
      <b/>
      <sz val="18"/>
      <color theme="1"/>
      <name val="Calibri"/>
      <family val="2"/>
    </font>
    <font>
      <i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2" borderId="7" applyNumberFormat="0" applyAlignment="0" applyProtection="0"/>
    <xf numFmtId="164" fontId="1" fillId="9" borderId="1">
      <alignment horizontal="center"/>
    </xf>
    <xf numFmtId="0" fontId="26" fillId="0" borderId="0"/>
    <xf numFmtId="0" fontId="27" fillId="16" borderId="31" applyNumberFormat="0" applyAlignment="0" applyProtection="0"/>
    <xf numFmtId="9" fontId="26" fillId="0" borderId="0" applyFont="0" applyFill="0" applyBorder="0" applyAlignment="0" applyProtection="0"/>
    <xf numFmtId="0" fontId="3" fillId="20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84">
    <xf numFmtId="0" fontId="0" fillId="0" borderId="0" xfId="0"/>
    <xf numFmtId="0" fontId="18" fillId="0" borderId="0" xfId="8" applyNumberFormat="1" applyFill="1" applyAlignment="1" applyProtection="1">
      <alignment wrapText="1"/>
    </xf>
    <xf numFmtId="0" fontId="0" fillId="0" borderId="0" xfId="0" applyAlignment="1">
      <alignment wrapText="1"/>
    </xf>
    <xf numFmtId="49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1" fillId="0" borderId="0" xfId="0" applyFont="1" applyAlignment="1">
      <alignment wrapText="1"/>
    </xf>
    <xf numFmtId="49" fontId="0" fillId="0" borderId="1" xfId="0" applyNumberFormat="1" applyBorder="1" applyAlignment="1">
      <alignment horizontal="left" wrapText="1"/>
    </xf>
    <xf numFmtId="49" fontId="0" fillId="14" borderId="1" xfId="0" applyNumberFormat="1" applyFill="1" applyBorder="1" applyAlignment="1">
      <alignment horizontal="left" wrapText="1"/>
    </xf>
    <xf numFmtId="1" fontId="32" fillId="22" borderId="1" xfId="0" quotePrefix="1" applyNumberFormat="1" applyFont="1" applyFill="1" applyBorder="1" applyAlignment="1" applyProtection="1">
      <alignment horizontal="left" wrapText="1"/>
      <protection locked="0"/>
    </xf>
    <xf numFmtId="164" fontId="3" fillId="20" borderId="0" xfId="7" quotePrefix="1" applyNumberFormat="1" applyBorder="1" applyAlignment="1" applyProtection="1">
      <alignment horizontal="left" wrapText="1"/>
    </xf>
    <xf numFmtId="49" fontId="0" fillId="2" borderId="1" xfId="0" applyNumberFormat="1" applyFill="1" applyBorder="1" applyAlignment="1">
      <alignment horizontal="left" wrapText="1"/>
    </xf>
    <xf numFmtId="49" fontId="0" fillId="10" borderId="1" xfId="0" applyNumberForma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1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2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6" fillId="0" borderId="4" xfId="2" applyFont="1" applyFill="1" applyBorder="1" applyAlignment="1" applyProtection="1">
      <alignment horizontal="center"/>
    </xf>
    <xf numFmtId="0" fontId="16" fillId="0" borderId="14" xfId="2" applyFont="1" applyFill="1" applyBorder="1" applyAlignment="1" applyProtection="1">
      <alignment horizontal="left"/>
    </xf>
    <xf numFmtId="164" fontId="14" fillId="0" borderId="2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" fillId="0" borderId="1" xfId="2" applyNumberFormat="1" applyFont="1" applyFill="1" applyBorder="1" applyAlignment="1" applyProtection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1" xfId="1" applyFont="1" applyFill="1" applyBorder="1" applyAlignment="1" applyProtection="1">
      <alignment horizontal="center"/>
    </xf>
    <xf numFmtId="0" fontId="1" fillId="0" borderId="19" xfId="0" applyFont="1" applyBorder="1"/>
    <xf numFmtId="0" fontId="1" fillId="0" borderId="24" xfId="0" applyFont="1" applyBorder="1"/>
    <xf numFmtId="0" fontId="0" fillId="0" borderId="28" xfId="0" applyBorder="1"/>
    <xf numFmtId="0" fontId="12" fillId="0" borderId="29" xfId="2" applyFont="1" applyFill="1" applyBorder="1" applyAlignment="1" applyProtection="1">
      <alignment horizontal="center"/>
    </xf>
    <xf numFmtId="0" fontId="12" fillId="0" borderId="30" xfId="2" applyFont="1" applyFill="1" applyBorder="1" applyAlignment="1" applyProtection="1">
      <alignment horizontal="center"/>
    </xf>
    <xf numFmtId="0" fontId="8" fillId="0" borderId="4" xfId="2" applyFont="1" applyFill="1" applyBorder="1" applyAlignment="1" applyProtection="1">
      <alignment horizontal="left"/>
    </xf>
    <xf numFmtId="0" fontId="8" fillId="0" borderId="2" xfId="2" applyFont="1" applyFill="1" applyBorder="1" applyAlignment="1" applyProtection="1">
      <alignment horizontal="left"/>
    </xf>
    <xf numFmtId="0" fontId="22" fillId="0" borderId="4" xfId="2" applyFont="1" applyFill="1" applyBorder="1" applyAlignment="1" applyProtection="1">
      <alignment horizontal="left" vertical="top" wrapText="1"/>
    </xf>
    <xf numFmtId="0" fontId="22" fillId="0" borderId="2" xfId="2" applyFont="1" applyFill="1" applyBorder="1" applyAlignment="1" applyProtection="1">
      <alignment horizontal="left" vertical="top" wrapText="1"/>
    </xf>
    <xf numFmtId="164" fontId="8" fillId="0" borderId="1" xfId="2" applyNumberFormat="1" applyFont="1" applyFill="1" applyBorder="1" applyAlignment="1" applyProtection="1">
      <alignment horizontal="center"/>
    </xf>
    <xf numFmtId="9" fontId="8" fillId="0" borderId="1" xfId="1" applyFont="1" applyFill="1" applyBorder="1" applyAlignment="1" applyProtection="1">
      <alignment horizontal="center"/>
    </xf>
    <xf numFmtId="1" fontId="8" fillId="0" borderId="1" xfId="5" applyNumberFormat="1" applyFont="1" applyFill="1" applyBorder="1" applyAlignment="1" applyProtection="1">
      <alignment horizontal="center"/>
    </xf>
    <xf numFmtId="0" fontId="26" fillId="0" borderId="32" xfId="4" applyBorder="1" applyAlignment="1">
      <alignment horizontal="left"/>
    </xf>
    <xf numFmtId="0" fontId="8" fillId="0" borderId="1" xfId="4" applyFont="1" applyBorder="1" applyAlignment="1">
      <alignment horizontal="center" wrapText="1"/>
    </xf>
    <xf numFmtId="0" fontId="25" fillId="0" borderId="5" xfId="4" applyFont="1" applyBorder="1" applyAlignment="1">
      <alignment horizontal="center"/>
    </xf>
    <xf numFmtId="0" fontId="25" fillId="0" borderId="5" xfId="4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3" fillId="0" borderId="1" xfId="0" applyFont="1" applyBorder="1" applyAlignment="1">
      <alignment horizontal="left" wrapText="1"/>
    </xf>
    <xf numFmtId="9" fontId="32" fillId="0" borderId="1" xfId="0" applyNumberFormat="1" applyFont="1" applyBorder="1" applyAlignment="1">
      <alignment horizontal="center"/>
    </xf>
    <xf numFmtId="1" fontId="32" fillId="0" borderId="1" xfId="0" applyNumberFormat="1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0" fontId="1" fillId="0" borderId="11" xfId="0" applyFont="1" applyBorder="1" applyAlignment="1">
      <alignment horizontal="right"/>
    </xf>
    <xf numFmtId="9" fontId="0" fillId="0" borderId="1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26" fillId="0" borderId="5" xfId="0" applyNumberFormat="1" applyFont="1" applyBorder="1" applyAlignment="1">
      <alignment horizontal="center"/>
    </xf>
    <xf numFmtId="9" fontId="26" fillId="0" borderId="5" xfId="0" applyNumberFormat="1" applyFont="1" applyBorder="1" applyAlignment="1">
      <alignment horizontal="center"/>
    </xf>
    <xf numFmtId="0" fontId="26" fillId="0" borderId="5" xfId="0" applyFont="1" applyBorder="1"/>
    <xf numFmtId="0" fontId="25" fillId="0" borderId="22" xfId="0" applyFont="1" applyBorder="1" applyAlignment="1">
      <alignment wrapText="1"/>
    </xf>
    <xf numFmtId="0" fontId="25" fillId="0" borderId="27" xfId="0" applyFont="1" applyBorder="1" applyAlignment="1">
      <alignment wrapText="1"/>
    </xf>
    <xf numFmtId="14" fontId="25" fillId="0" borderId="27" xfId="0" applyNumberFormat="1" applyFont="1" applyBorder="1" applyAlignment="1">
      <alignment wrapText="1"/>
    </xf>
    <xf numFmtId="0" fontId="0" fillId="0" borderId="8" xfId="0" applyBorder="1"/>
    <xf numFmtId="0" fontId="0" fillId="0" borderId="1" xfId="0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6" xfId="0" applyBorder="1"/>
    <xf numFmtId="2" fontId="0" fillId="0" borderId="6" xfId="0" applyNumberFormat="1" applyBorder="1"/>
    <xf numFmtId="0" fontId="1" fillId="0" borderId="23" xfId="0" applyFont="1" applyBorder="1"/>
    <xf numFmtId="2" fontId="1" fillId="0" borderId="24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9" fontId="32" fillId="0" borderId="9" xfId="1" applyFont="1" applyFill="1" applyBorder="1" applyAlignment="1" applyProtection="1">
      <alignment horizontal="center"/>
    </xf>
    <xf numFmtId="164" fontId="32" fillId="0" borderId="33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69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9" fontId="16" fillId="0" borderId="1" xfId="1" applyFont="1" applyFill="1" applyBorder="1" applyAlignment="1" applyProtection="1">
      <alignment horizontal="center"/>
    </xf>
    <xf numFmtId="0" fontId="53" fillId="0" borderId="1" xfId="2" applyFont="1" applyFill="1" applyBorder="1" applyAlignment="1" applyProtection="1">
      <alignment horizontal="center" wrapText="1"/>
    </xf>
    <xf numFmtId="0" fontId="15" fillId="0" borderId="0" xfId="0" applyFont="1"/>
    <xf numFmtId="49" fontId="0" fillId="0" borderId="0" xfId="0" applyNumberFormat="1"/>
    <xf numFmtId="0" fontId="8" fillId="10" borderId="3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47" fillId="0" borderId="0" xfId="0" applyFont="1"/>
    <xf numFmtId="0" fontId="15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49" fontId="8" fillId="10" borderId="1" xfId="0" applyNumberFormat="1" applyFon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14" fontId="8" fillId="10" borderId="1" xfId="0" applyNumberFormat="1" applyFont="1" applyFill="1" applyBorder="1" applyAlignment="1" applyProtection="1">
      <alignment horizontal="left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165" fontId="6" fillId="10" borderId="3" xfId="0" applyNumberFormat="1" applyFont="1" applyFill="1" applyBorder="1" applyAlignment="1" applyProtection="1">
      <alignment horizontal="center"/>
      <protection locked="0"/>
    </xf>
    <xf numFmtId="1" fontId="8" fillId="10" borderId="3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14" fontId="8" fillId="0" borderId="0" xfId="0" applyNumberFormat="1" applyFont="1" applyAlignment="1" applyProtection="1">
      <alignment horizontal="left"/>
      <protection locked="0"/>
    </xf>
    <xf numFmtId="0" fontId="48" fillId="0" borderId="0" xfId="0" applyFont="1" applyAlignment="1">
      <alignment horizontal="left"/>
    </xf>
    <xf numFmtId="9" fontId="8" fillId="0" borderId="0" xfId="0" applyNumberFormat="1" applyFont="1" applyAlignment="1">
      <alignment horizontal="center"/>
    </xf>
    <xf numFmtId="14" fontId="6" fillId="14" borderId="0" xfId="0" applyNumberFormat="1" applyFont="1" applyFill="1" applyAlignment="1" applyProtection="1">
      <alignment horizontal="center" shrinkToFit="1"/>
      <protection locked="0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7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left"/>
    </xf>
    <xf numFmtId="0" fontId="13" fillId="0" borderId="0" xfId="0" applyFont="1" applyAlignment="1">
      <alignment horizontal="left" wrapText="1"/>
    </xf>
    <xf numFmtId="0" fontId="0" fillId="11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0" borderId="0" xfId="0" applyFont="1" applyAlignment="1">
      <alignment horizontal="left"/>
    </xf>
    <xf numFmtId="49" fontId="1" fillId="1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10" borderId="1" xfId="0" applyNumberFormat="1" applyFill="1" applyBorder="1" applyAlignment="1" applyProtection="1">
      <alignment horizontal="center"/>
      <protection locked="0"/>
    </xf>
    <xf numFmtId="9" fontId="0" fillId="10" borderId="1" xfId="0" applyNumberFormat="1" applyFill="1" applyBorder="1" applyAlignment="1" applyProtection="1">
      <alignment horizontal="center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0" fillId="1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 applyAlignment="1" applyProtection="1">
      <alignment horizontal="center"/>
      <protection locked="0"/>
    </xf>
    <xf numFmtId="9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3" fillId="12" borderId="0" xfId="0" applyFont="1" applyFill="1" applyAlignment="1">
      <alignment horizontal="left"/>
    </xf>
    <xf numFmtId="0" fontId="30" fillId="0" borderId="0" xfId="0" applyFont="1" applyAlignment="1" applyProtection="1">
      <alignment horizontal="left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3" fontId="0" fillId="10" borderId="1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9" fontId="0" fillId="0" borderId="0" xfId="0" applyNumberFormat="1" applyAlignment="1">
      <alignment horizontal="center"/>
    </xf>
    <xf numFmtId="9" fontId="13" fillId="0" borderId="0" xfId="0" applyNumberFormat="1" applyFont="1" applyAlignment="1">
      <alignment horizontal="left"/>
    </xf>
    <xf numFmtId="169" fontId="0" fillId="10" borderId="1" xfId="0" applyNumberFormat="1" applyFill="1" applyBorder="1" applyAlignment="1" applyProtection="1">
      <alignment horizontal="center"/>
      <protection locked="0"/>
    </xf>
    <xf numFmtId="168" fontId="0" fillId="10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1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" fillId="4" borderId="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49" fontId="0" fillId="10" borderId="2" xfId="0" applyNumberFormat="1" applyFill="1" applyBorder="1" applyAlignment="1" applyProtection="1">
      <alignment horizontal="center"/>
      <protection locked="0"/>
    </xf>
    <xf numFmtId="49" fontId="0" fillId="10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3" fillId="0" borderId="0" xfId="0" applyFont="1" applyAlignment="1">
      <alignment horizontal="left"/>
    </xf>
    <xf numFmtId="9" fontId="32" fillId="0" borderId="0" xfId="0" applyNumberFormat="1" applyFont="1" applyAlignment="1">
      <alignment horizontal="left"/>
    </xf>
    <xf numFmtId="9" fontId="0" fillId="21" borderId="1" xfId="0" applyNumberFormat="1" applyFill="1" applyBorder="1" applyAlignment="1">
      <alignment horizontal="center"/>
    </xf>
    <xf numFmtId="0" fontId="4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9" fontId="32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1" fontId="0" fillId="20" borderId="0" xfId="0" applyNumberFormat="1" applyFill="1" applyAlignment="1">
      <alignment horizontal="center"/>
    </xf>
    <xf numFmtId="1" fontId="50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center"/>
    </xf>
    <xf numFmtId="164" fontId="5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left"/>
    </xf>
    <xf numFmtId="9" fontId="0" fillId="20" borderId="0" xfId="0" applyNumberFormat="1" applyFill="1" applyAlignment="1">
      <alignment horizontal="center"/>
    </xf>
    <xf numFmtId="164" fontId="0" fillId="20" borderId="0" xfId="0" applyNumberFormat="1" applyFill="1" applyAlignment="1">
      <alignment horizontal="center"/>
    </xf>
    <xf numFmtId="0" fontId="50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1" fontId="32" fillId="22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10" borderId="2" xfId="0" applyNumberFormat="1" applyFill="1" applyBorder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49" fontId="0" fillId="13" borderId="2" xfId="0" applyNumberFormat="1" applyFill="1" applyBorder="1" applyAlignment="1" applyProtection="1">
      <alignment horizontal="center"/>
      <protection locked="0"/>
    </xf>
    <xf numFmtId="49" fontId="0" fillId="13" borderId="1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9" fontId="0" fillId="0" borderId="0" xfId="0" applyNumberFormat="1" applyAlignment="1">
      <alignment horizontal="left"/>
    </xf>
    <xf numFmtId="0" fontId="20" fillId="0" borderId="0" xfId="0" applyFont="1" applyAlignment="1">
      <alignment horizontal="left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1" fontId="0" fillId="10" borderId="2" xfId="0" applyNumberFormat="1" applyFill="1" applyBorder="1" applyAlignment="1" applyProtection="1">
      <alignment horizontal="center"/>
      <protection locked="0"/>
    </xf>
    <xf numFmtId="164" fontId="24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64" fontId="0" fillId="9" borderId="2" xfId="0" applyNumberForma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16" fillId="1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165" fontId="0" fillId="10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10" fillId="10" borderId="0" xfId="0" applyFont="1" applyFill="1" applyAlignment="1">
      <alignment horizontal="left"/>
    </xf>
    <xf numFmtId="49" fontId="16" fillId="2" borderId="2" xfId="0" applyNumberFormat="1" applyFont="1" applyFill="1" applyBorder="1" applyAlignment="1" applyProtection="1">
      <alignment horizontal="center"/>
      <protection locked="0"/>
    </xf>
    <xf numFmtId="49" fontId="1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4" borderId="1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14" fontId="0" fillId="0" borderId="0" xfId="0" applyNumberFormat="1"/>
    <xf numFmtId="9" fontId="0" fillId="0" borderId="0" xfId="0" applyNumberFormat="1"/>
    <xf numFmtId="2" fontId="0" fillId="0" borderId="0" xfId="0" applyNumberFormat="1"/>
    <xf numFmtId="3" fontId="0" fillId="0" borderId="0" xfId="0" applyNumberFormat="1"/>
    <xf numFmtId="0" fontId="26" fillId="0" borderId="0" xfId="0" applyFont="1"/>
    <xf numFmtId="0" fontId="32" fillId="0" borderId="0" xfId="0" applyFont="1"/>
    <xf numFmtId="164" fontId="32" fillId="0" borderId="0" xfId="0" applyNumberFormat="1" applyFont="1"/>
    <xf numFmtId="0" fontId="45" fillId="0" borderId="0" xfId="0" applyFont="1"/>
    <xf numFmtId="0" fontId="46" fillId="14" borderId="0" xfId="0" applyFont="1" applyFill="1"/>
    <xf numFmtId="0" fontId="32" fillId="14" borderId="0" xfId="0" applyFont="1" applyFill="1"/>
    <xf numFmtId="1" fontId="8" fillId="14" borderId="1" xfId="0" applyNumberFormat="1" applyFont="1" applyFill="1" applyBorder="1" applyAlignment="1">
      <alignment horizontal="center"/>
    </xf>
    <xf numFmtId="3" fontId="8" fillId="14" borderId="3" xfId="0" applyNumberFormat="1" applyFont="1" applyFill="1" applyBorder="1" applyAlignment="1">
      <alignment horizontal="center"/>
    </xf>
    <xf numFmtId="0" fontId="31" fillId="0" borderId="0" xfId="0" applyFont="1"/>
    <xf numFmtId="0" fontId="8" fillId="14" borderId="1" xfId="0" applyFont="1" applyFill="1" applyBorder="1" applyAlignment="1">
      <alignment horizontal="center"/>
    </xf>
    <xf numFmtId="164" fontId="31" fillId="0" borderId="0" xfId="0" applyNumberFormat="1" applyFont="1"/>
    <xf numFmtId="2" fontId="8" fillId="14" borderId="1" xfId="0" applyNumberFormat="1" applyFont="1" applyFill="1" applyBorder="1" applyAlignment="1">
      <alignment horizontal="center"/>
    </xf>
    <xf numFmtId="9" fontId="8" fillId="14" borderId="1" xfId="0" applyNumberFormat="1" applyFont="1" applyFill="1" applyBorder="1" applyAlignment="1">
      <alignment horizontal="center"/>
    </xf>
    <xf numFmtId="164" fontId="8" fillId="14" borderId="1" xfId="0" applyNumberFormat="1" applyFont="1" applyFill="1" applyBorder="1" applyAlignment="1">
      <alignment horizontal="center"/>
    </xf>
    <xf numFmtId="0" fontId="33" fillId="0" borderId="0" xfId="0" applyFont="1"/>
    <xf numFmtId="0" fontId="8" fillId="17" borderId="1" xfId="0" applyFont="1" applyFill="1" applyBorder="1" applyAlignment="1" applyProtection="1">
      <alignment horizontal="center"/>
      <protection locked="0"/>
    </xf>
    <xf numFmtId="0" fontId="32" fillId="18" borderId="34" xfId="0" applyFont="1" applyFill="1" applyBorder="1"/>
    <xf numFmtId="0" fontId="25" fillId="0" borderId="0" xfId="0" applyFont="1" applyAlignment="1">
      <alignment wrapText="1"/>
    </xf>
    <xf numFmtId="0" fontId="26" fillId="18" borderId="34" xfId="0" applyFont="1" applyFill="1" applyBorder="1" applyAlignment="1">
      <alignment wrapText="1"/>
    </xf>
    <xf numFmtId="9" fontId="26" fillId="0" borderId="0" xfId="0" applyNumberFormat="1" applyFont="1"/>
    <xf numFmtId="2" fontId="26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2" fontId="26" fillId="0" borderId="0" xfId="0" applyNumberFormat="1" applyFont="1"/>
    <xf numFmtId="9" fontId="26" fillId="18" borderId="1" xfId="0" applyNumberFormat="1" applyFont="1" applyFill="1" applyBorder="1" applyProtection="1">
      <protection locked="0"/>
    </xf>
    <xf numFmtId="9" fontId="32" fillId="14" borderId="0" xfId="0" applyNumberFormat="1" applyFont="1" applyFill="1"/>
    <xf numFmtId="0" fontId="46" fillId="0" borderId="0" xfId="0" applyFont="1"/>
    <xf numFmtId="0" fontId="32" fillId="0" borderId="0" xfId="0" applyFont="1" applyAlignment="1">
      <alignment horizontal="center" vertical="center" wrapText="1"/>
    </xf>
    <xf numFmtId="0" fontId="26" fillId="14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2" fontId="26" fillId="18" borderId="1" xfId="0" applyNumberFormat="1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9" fontId="8" fillId="17" borderId="1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 vertical="top" wrapText="1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" fontId="26" fillId="14" borderId="1" xfId="0" applyNumberFormat="1" applyFont="1" applyFill="1" applyBorder="1"/>
    <xf numFmtId="0" fontId="26" fillId="0" borderId="0" xfId="0" applyFont="1" applyAlignment="1">
      <alignment horizontal="center"/>
    </xf>
    <xf numFmtId="0" fontId="26" fillId="14" borderId="1" xfId="0" applyFont="1" applyFill="1" applyBorder="1"/>
    <xf numFmtId="164" fontId="33" fillId="0" borderId="0" xfId="0" applyNumberFormat="1" applyFont="1"/>
    <xf numFmtId="9" fontId="33" fillId="0" borderId="0" xfId="0" applyNumberFormat="1" applyFont="1"/>
    <xf numFmtId="1" fontId="32" fillId="14" borderId="0" xfId="0" applyNumberFormat="1" applyFont="1" applyFill="1" applyAlignment="1">
      <alignment horizontal="center"/>
    </xf>
    <xf numFmtId="0" fontId="26" fillId="19" borderId="1" xfId="0" applyFont="1" applyFill="1" applyBorder="1"/>
    <xf numFmtId="0" fontId="25" fillId="19" borderId="1" xfId="0" applyFont="1" applyFill="1" applyBorder="1"/>
    <xf numFmtId="1" fontId="26" fillId="19" borderId="1" xfId="0" applyNumberFormat="1" applyFont="1" applyFill="1" applyBorder="1"/>
    <xf numFmtId="0" fontId="25" fillId="0" borderId="0" xfId="0" applyFont="1"/>
    <xf numFmtId="14" fontId="0" fillId="14" borderId="8" xfId="0" applyNumberFormat="1" applyFill="1" applyBorder="1" applyAlignment="1" applyProtection="1">
      <alignment horizontal="left"/>
      <protection locked="0"/>
    </xf>
    <xf numFmtId="10" fontId="0" fillId="0" borderId="0" xfId="0" applyNumberFormat="1"/>
    <xf numFmtId="10" fontId="25" fillId="15" borderId="27" xfId="0" applyNumberFormat="1" applyFont="1" applyFill="1" applyBorder="1" applyAlignment="1">
      <alignment wrapText="1"/>
    </xf>
    <xf numFmtId="14" fontId="25" fillId="15" borderId="27" xfId="0" applyNumberFormat="1" applyFont="1" applyFill="1" applyBorder="1" applyAlignment="1" applyProtection="1">
      <alignment wrapText="1"/>
      <protection hidden="1"/>
    </xf>
    <xf numFmtId="0" fontId="25" fillId="15" borderId="27" xfId="0" applyFont="1" applyFill="1" applyBorder="1" applyAlignment="1" applyProtection="1">
      <alignment wrapText="1"/>
      <protection hidden="1"/>
    </xf>
    <xf numFmtId="0" fontId="25" fillId="15" borderId="26" xfId="0" applyFont="1" applyFill="1" applyBorder="1" applyAlignment="1" applyProtection="1">
      <alignment wrapText="1"/>
      <protection hidden="1"/>
    </xf>
    <xf numFmtId="0" fontId="32" fillId="14" borderId="20" xfId="0" applyFont="1" applyFill="1" applyBorder="1" applyProtection="1">
      <protection locked="0"/>
    </xf>
    <xf numFmtId="0" fontId="18" fillId="14" borderId="8" xfId="0" applyFont="1" applyFill="1" applyBorder="1" applyProtection="1">
      <protection locked="0"/>
    </xf>
    <xf numFmtId="0" fontId="32" fillId="14" borderId="8" xfId="0" applyFont="1" applyFill="1" applyBorder="1" applyProtection="1">
      <protection locked="0"/>
    </xf>
    <xf numFmtId="0" fontId="0" fillId="14" borderId="8" xfId="0" applyFill="1" applyBorder="1"/>
    <xf numFmtId="0" fontId="0" fillId="14" borderId="8" xfId="0" applyFill="1" applyBorder="1" applyProtection="1">
      <protection locked="0"/>
    </xf>
    <xf numFmtId="14" fontId="0" fillId="14" borderId="8" xfId="0" applyNumberFormat="1" applyFill="1" applyBorder="1" applyProtection="1">
      <protection locked="0"/>
    </xf>
    <xf numFmtId="10" fontId="0" fillId="15" borderId="8" xfId="0" applyNumberFormat="1" applyFill="1" applyBorder="1"/>
    <xf numFmtId="2" fontId="0" fillId="15" borderId="8" xfId="0" applyNumberFormat="1" applyFill="1" applyBorder="1" applyProtection="1">
      <protection hidden="1"/>
    </xf>
    <xf numFmtId="14" fontId="0" fillId="15" borderId="8" xfId="0" applyNumberFormat="1" applyFill="1" applyBorder="1" applyProtection="1">
      <protection hidden="1"/>
    </xf>
    <xf numFmtId="0" fontId="0" fillId="15" borderId="21" xfId="0" applyFill="1" applyBorder="1" applyProtection="1">
      <protection locked="0" hidden="1"/>
    </xf>
    <xf numFmtId="0" fontId="32" fillId="14" borderId="15" xfId="0" applyFont="1" applyFill="1" applyBorder="1" applyProtection="1">
      <protection locked="0"/>
    </xf>
    <xf numFmtId="0" fontId="18" fillId="14" borderId="1" xfId="0" applyFont="1" applyFill="1" applyBorder="1" applyProtection="1">
      <protection locked="0"/>
    </xf>
    <xf numFmtId="0" fontId="32" fillId="14" borderId="1" xfId="0" applyFont="1" applyFill="1" applyBorder="1" applyProtection="1">
      <protection locked="0"/>
    </xf>
    <xf numFmtId="0" fontId="0" fillId="14" borderId="1" xfId="0" applyFill="1" applyBorder="1"/>
    <xf numFmtId="0" fontId="0" fillId="14" borderId="1" xfId="0" applyFill="1" applyBorder="1" applyProtection="1">
      <protection locked="0"/>
    </xf>
    <xf numFmtId="10" fontId="0" fillId="15" borderId="1" xfId="0" applyNumberFormat="1" applyFill="1" applyBorder="1"/>
    <xf numFmtId="2" fontId="0" fillId="15" borderId="1" xfId="0" applyNumberFormat="1" applyFill="1" applyBorder="1" applyProtection="1">
      <protection hidden="1"/>
    </xf>
    <xf numFmtId="0" fontId="0" fillId="15" borderId="16" xfId="0" applyFill="1" applyBorder="1" applyProtection="1">
      <protection locked="0" hidden="1"/>
    </xf>
    <xf numFmtId="0" fontId="32" fillId="14" borderId="17" xfId="0" applyFont="1" applyFill="1" applyBorder="1" applyProtection="1">
      <protection locked="0"/>
    </xf>
    <xf numFmtId="0" fontId="18" fillId="14" borderId="6" xfId="0" applyFont="1" applyFill="1" applyBorder="1" applyProtection="1">
      <protection locked="0"/>
    </xf>
    <xf numFmtId="0" fontId="32" fillId="14" borderId="6" xfId="0" applyFont="1" applyFill="1" applyBorder="1" applyProtection="1">
      <protection locked="0"/>
    </xf>
    <xf numFmtId="0" fontId="0" fillId="14" borderId="6" xfId="0" applyFill="1" applyBorder="1"/>
    <xf numFmtId="0" fontId="0" fillId="14" borderId="6" xfId="0" applyFill="1" applyBorder="1" applyProtection="1">
      <protection locked="0"/>
    </xf>
    <xf numFmtId="10" fontId="0" fillId="15" borderId="6" xfId="0" applyNumberFormat="1" applyFill="1" applyBorder="1"/>
    <xf numFmtId="2" fontId="0" fillId="15" borderId="6" xfId="0" applyNumberFormat="1" applyFill="1" applyBorder="1" applyProtection="1">
      <protection hidden="1"/>
    </xf>
    <xf numFmtId="0" fontId="0" fillId="15" borderId="18" xfId="0" applyFill="1" applyBorder="1" applyProtection="1">
      <protection locked="0" hidden="1"/>
    </xf>
    <xf numFmtId="10" fontId="1" fillId="15" borderId="24" xfId="0" applyNumberFormat="1" applyFont="1" applyFill="1" applyBorder="1"/>
    <xf numFmtId="2" fontId="1" fillId="15" borderId="24" xfId="0" applyNumberFormat="1" applyFont="1" applyFill="1" applyBorder="1" applyProtection="1">
      <protection hidden="1"/>
    </xf>
    <xf numFmtId="14" fontId="1" fillId="15" borderId="24" xfId="0" applyNumberFormat="1" applyFont="1" applyFill="1" applyBorder="1" applyProtection="1">
      <protection hidden="1"/>
    </xf>
    <xf numFmtId="0" fontId="1" fillId="15" borderId="25" xfId="0" applyFont="1" applyFill="1" applyBorder="1" applyProtection="1">
      <protection hidden="1"/>
    </xf>
    <xf numFmtId="1" fontId="0" fillId="14" borderId="8" xfId="0" applyNumberFormat="1" applyFill="1" applyBorder="1" applyAlignment="1" applyProtection="1">
      <alignment horizontal="left"/>
      <protection locked="0"/>
    </xf>
    <xf numFmtId="1" fontId="0" fillId="14" borderId="1" xfId="0" applyNumberForma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49" fontId="8" fillId="10" borderId="3" xfId="0" applyNumberFormat="1" applyFont="1" applyFill="1" applyBorder="1" applyAlignment="1" applyProtection="1">
      <alignment horizontal="left"/>
      <protection locked="0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18" fillId="10" borderId="3" xfId="8" applyNumberFormat="1" applyFill="1" applyBorder="1" applyAlignment="1" applyProtection="1">
      <alignment horizontal="left"/>
      <protection locked="0"/>
    </xf>
    <xf numFmtId="0" fontId="1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10" borderId="3" xfId="0" applyFont="1" applyFill="1" applyBorder="1" applyAlignment="1" applyProtection="1">
      <alignment horizontal="left"/>
      <protection locked="0"/>
    </xf>
    <xf numFmtId="0" fontId="8" fillId="10" borderId="2" xfId="0" applyFont="1" applyFill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9" fillId="4" borderId="5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32" fillId="4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8" fillId="10" borderId="4" xfId="0" applyFont="1" applyFill="1" applyBorder="1" applyAlignment="1" applyProtection="1">
      <alignment horizontal="left"/>
      <protection locked="0"/>
    </xf>
    <xf numFmtId="49" fontId="16" fillId="3" borderId="5" xfId="0" applyNumberFormat="1" applyFont="1" applyFill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9" fontId="16" fillId="3" borderId="4" xfId="0" applyNumberFormat="1" applyFont="1" applyFill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49" fontId="0" fillId="4" borderId="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14" fillId="0" borderId="14" xfId="0" applyFont="1" applyBorder="1" applyAlignment="1">
      <alignment horizontal="left"/>
    </xf>
    <xf numFmtId="0" fontId="11" fillId="11" borderId="0" xfId="0" applyFont="1" applyFill="1" applyAlignment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14" fontId="6" fillId="10" borderId="3" xfId="0" applyNumberFormat="1" applyFont="1" applyFill="1" applyBorder="1" applyAlignment="1" applyProtection="1">
      <alignment horizontal="center"/>
      <protection locked="0"/>
    </xf>
    <xf numFmtId="14" fontId="6" fillId="10" borderId="4" xfId="0" applyNumberFormat="1" applyFont="1" applyFill="1" applyBorder="1" applyAlignment="1" applyProtection="1">
      <alignment horizontal="center"/>
      <protection locked="0"/>
    </xf>
    <xf numFmtId="14" fontId="6" fillId="10" borderId="2" xfId="0" applyNumberFormat="1" applyFont="1" applyFill="1" applyBorder="1" applyAlignment="1" applyProtection="1">
      <alignment horizontal="center"/>
      <protection locked="0"/>
    </xf>
    <xf numFmtId="0" fontId="11" fillId="5" borderId="0" xfId="0" applyFont="1" applyFill="1" applyAlignment="1">
      <alignment horizontal="left"/>
    </xf>
    <xf numFmtId="0" fontId="6" fillId="10" borderId="3" xfId="0" applyFont="1" applyFill="1" applyBorder="1" applyAlignment="1" applyProtection="1">
      <alignment horizontal="left"/>
      <protection locked="0"/>
    </xf>
    <xf numFmtId="0" fontId="6" fillId="10" borderId="4" xfId="0" applyFont="1" applyFill="1" applyBorder="1" applyAlignment="1" applyProtection="1">
      <alignment horizontal="left"/>
      <protection locked="0"/>
    </xf>
    <xf numFmtId="0" fontId="6" fillId="10" borderId="2" xfId="0" applyFon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0" fontId="11" fillId="7" borderId="0" xfId="0" applyFont="1" applyFill="1" applyAlignment="1">
      <alignment horizontal="left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10" borderId="3" xfId="0" applyFont="1" applyFill="1" applyBorder="1" applyAlignment="1" applyProtection="1">
      <alignment horizontal="left"/>
      <protection locked="0"/>
    </xf>
    <xf numFmtId="0" fontId="1" fillId="10" borderId="4" xfId="0" applyFont="1" applyFill="1" applyBorder="1" applyAlignment="1" applyProtection="1">
      <alignment horizontal="left"/>
      <protection locked="0"/>
    </xf>
    <xf numFmtId="0" fontId="1" fillId="10" borderId="2" xfId="0" applyFont="1" applyFill="1" applyBorder="1" applyAlignment="1" applyProtection="1">
      <alignment horizontal="left"/>
      <protection locked="0"/>
    </xf>
    <xf numFmtId="49" fontId="6" fillId="10" borderId="3" xfId="0" applyNumberFormat="1" applyFont="1" applyFill="1" applyBorder="1" applyAlignment="1" applyProtection="1">
      <alignment horizontal="left"/>
      <protection locked="0"/>
    </xf>
    <xf numFmtId="49" fontId="6" fillId="10" borderId="4" xfId="0" applyNumberFormat="1" applyFont="1" applyFill="1" applyBorder="1" applyAlignment="1" applyProtection="1">
      <alignment horizontal="left"/>
      <protection locked="0"/>
    </xf>
    <xf numFmtId="49" fontId="6" fillId="10" borderId="2" xfId="0" applyNumberFormat="1" applyFont="1" applyFill="1" applyBorder="1" applyAlignment="1" applyProtection="1">
      <alignment horizontal="left"/>
      <protection locked="0"/>
    </xf>
    <xf numFmtId="14" fontId="6" fillId="14" borderId="3" xfId="0" applyNumberFormat="1" applyFont="1" applyFill="1" applyBorder="1" applyAlignment="1" applyProtection="1">
      <alignment horizontal="center"/>
      <protection locked="0"/>
    </xf>
    <xf numFmtId="14" fontId="6" fillId="14" borderId="4" xfId="0" applyNumberFormat="1" applyFont="1" applyFill="1" applyBorder="1" applyAlignment="1" applyProtection="1">
      <alignment horizontal="center"/>
      <protection locked="0"/>
    </xf>
    <xf numFmtId="14" fontId="6" fillId="14" borderId="2" xfId="0" applyNumberFormat="1" applyFont="1" applyFill="1" applyBorder="1" applyAlignment="1" applyProtection="1">
      <alignment horizontal="center"/>
      <protection locked="0"/>
    </xf>
    <xf numFmtId="0" fontId="22" fillId="0" borderId="4" xfId="2" applyFont="1" applyFill="1" applyBorder="1" applyAlignment="1" applyProtection="1">
      <alignment horizontal="center" vertical="top" wrapText="1"/>
    </xf>
    <xf numFmtId="0" fontId="22" fillId="0" borderId="2" xfId="2" applyFont="1" applyFill="1" applyBorder="1" applyAlignment="1" applyProtection="1">
      <alignment horizontal="center" vertical="top" wrapText="1"/>
    </xf>
    <xf numFmtId="14" fontId="6" fillId="14" borderId="4" xfId="0" applyNumberFormat="1" applyFont="1" applyFill="1" applyBorder="1" applyAlignment="1" applyProtection="1">
      <alignment horizontal="center" shrinkToFit="1"/>
      <protection locked="0"/>
    </xf>
    <xf numFmtId="0" fontId="15" fillId="7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 wrapText="1"/>
    </xf>
    <xf numFmtId="0" fontId="22" fillId="18" borderId="9" xfId="0" applyFont="1" applyFill="1" applyBorder="1" applyAlignment="1">
      <alignment horizontal="center" vertical="top" wrapText="1"/>
    </xf>
    <xf numFmtId="0" fontId="22" fillId="18" borderId="11" xfId="0" applyFont="1" applyFill="1" applyBorder="1" applyAlignment="1">
      <alignment horizontal="center" vertical="top" wrapText="1"/>
    </xf>
    <xf numFmtId="0" fontId="22" fillId="18" borderId="12" xfId="0" applyFont="1" applyFill="1" applyBorder="1" applyAlignment="1">
      <alignment horizontal="center" vertical="top" wrapText="1"/>
    </xf>
    <xf numFmtId="0" fontId="22" fillId="18" borderId="33" xfId="0" applyFont="1" applyFill="1" applyBorder="1" applyAlignment="1">
      <alignment horizontal="center" vertical="top" wrapText="1"/>
    </xf>
    <xf numFmtId="0" fontId="22" fillId="18" borderId="0" xfId="0" applyFont="1" applyFill="1" applyAlignment="1">
      <alignment horizontal="center" vertical="top" wrapText="1"/>
    </xf>
    <xf numFmtId="0" fontId="22" fillId="18" borderId="14" xfId="0" applyFont="1" applyFill="1" applyBorder="1" applyAlignment="1">
      <alignment horizontal="center" vertical="top" wrapText="1"/>
    </xf>
    <xf numFmtId="0" fontId="22" fillId="18" borderId="10" xfId="0" applyFont="1" applyFill="1" applyBorder="1" applyAlignment="1">
      <alignment horizontal="center" vertical="top" wrapText="1"/>
    </xf>
    <xf numFmtId="0" fontId="22" fillId="18" borderId="5" xfId="0" applyFont="1" applyFill="1" applyBorder="1" applyAlignment="1">
      <alignment horizontal="center" vertical="top" wrapText="1"/>
    </xf>
    <xf numFmtId="0" fontId="22" fillId="18" borderId="13" xfId="0" applyFont="1" applyFill="1" applyBorder="1" applyAlignment="1">
      <alignment horizontal="center" vertical="top" wrapText="1"/>
    </xf>
    <xf numFmtId="0" fontId="11" fillId="6" borderId="0" xfId="0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0" fontId="9" fillId="11" borderId="0" xfId="0" applyFont="1" applyFill="1" applyAlignment="1">
      <alignment horizontal="left" wrapText="1"/>
    </xf>
    <xf numFmtId="0" fontId="0" fillId="4" borderId="4" xfId="0" applyFill="1" applyBorder="1" applyAlignment="1" applyProtection="1">
      <alignment horizontal="left"/>
      <protection locked="0"/>
    </xf>
    <xf numFmtId="0" fontId="15" fillId="8" borderId="0" xfId="0" applyFont="1" applyFill="1" applyAlignment="1">
      <alignment horizontal="left" wrapText="1"/>
    </xf>
    <xf numFmtId="0" fontId="15" fillId="6" borderId="0" xfId="0" applyFont="1" applyFill="1" applyAlignment="1">
      <alignment horizontal="left" wrapText="1"/>
    </xf>
    <xf numFmtId="49" fontId="0" fillId="3" borderId="5" xfId="0" applyNumberFormat="1" applyFill="1" applyBorder="1" applyAlignment="1" applyProtection="1">
      <alignment horizontal="left" shrinkToFit="1"/>
      <protection locked="0"/>
    </xf>
    <xf numFmtId="49" fontId="0" fillId="0" borderId="5" xfId="0" applyNumberFormat="1" applyBorder="1" applyAlignment="1" applyProtection="1">
      <alignment horizontal="left" shrinkToFit="1"/>
      <protection locked="0"/>
    </xf>
    <xf numFmtId="49" fontId="0" fillId="3" borderId="4" xfId="0" applyNumberFormat="1" applyFill="1" applyBorder="1" applyAlignment="1" applyProtection="1">
      <alignment horizontal="left" shrinkToFit="1"/>
      <protection locked="0"/>
    </xf>
    <xf numFmtId="49" fontId="0" fillId="0" borderId="4" xfId="0" applyNumberFormat="1" applyBorder="1" applyAlignment="1" applyProtection="1">
      <alignment horizontal="left" shrinkToFit="1"/>
      <protection locked="0"/>
    </xf>
    <xf numFmtId="0" fontId="29" fillId="17" borderId="5" xfId="0" applyFont="1" applyFill="1" applyBorder="1" applyAlignment="1" applyProtection="1">
      <alignment horizontal="left" vertical="top" wrapText="1"/>
      <protection locked="0"/>
    </xf>
    <xf numFmtId="0" fontId="45" fillId="0" borderId="0" xfId="0" applyFont="1" applyAlignment="1">
      <alignment horizontal="left"/>
    </xf>
  </cellXfs>
  <cellStyles count="9">
    <cellStyle name="60 % - Dekorfärg5" xfId="7" builtinId="48"/>
    <cellStyle name="Format 1" xfId="3" xr:uid="{00000000-0005-0000-0000-000001000000}"/>
    <cellStyle name="Hyperlänk" xfId="8" builtinId="8"/>
    <cellStyle name="Indata" xfId="2" builtinId="20"/>
    <cellStyle name="Indata 2" xfId="5" xr:uid="{00000000-0005-0000-0000-000004000000}"/>
    <cellStyle name="Normal" xfId="0" builtinId="0"/>
    <cellStyle name="Normal 2" xfId="4" xr:uid="{00000000-0005-0000-0000-000006000000}"/>
    <cellStyle name="Procent" xfId="1" builtinId="5"/>
    <cellStyle name="Procent 2" xfId="6" xr:uid="{00000000-0005-0000-0000-000008000000}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CC99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0.48199999999999998</c:v>
                </c:pt>
                <c:pt idx="1">
                  <c:v>0.95499999999999996</c:v>
                </c:pt>
                <c:pt idx="2">
                  <c:v>0.61</c:v>
                </c:pt>
                <c:pt idx="3">
                  <c:v>0.53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93-4F15-92E2-4C833074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14144"/>
        <c:axId val="152694784"/>
      </c:lineChart>
      <c:catAx>
        <c:axId val="1706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94784"/>
        <c:crosses val="autoZero"/>
        <c:auto val="1"/>
        <c:lblAlgn val="ctr"/>
        <c:lblOffset val="100"/>
        <c:noMultiLvlLbl val="0"/>
      </c:catAx>
      <c:valAx>
        <c:axId val="15269478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06141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Avskjutning totalt per 1000 ha ungskog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Plan!#REF!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Plan!#REF!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84-466C-A221-E33900C0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1280"/>
        <c:axId val="154322816"/>
      </c:barChart>
      <c:catAx>
        <c:axId val="1543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22816"/>
        <c:crosses val="autoZero"/>
        <c:auto val="1"/>
        <c:lblAlgn val="ctr"/>
        <c:lblOffset val="100"/>
        <c:noMultiLvlLbl val="0"/>
      </c:catAx>
      <c:valAx>
        <c:axId val="15432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2128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Avskjutningsplan inom ÄFO för</a:t>
            </a:r>
            <a:r>
              <a:rPr lang="sv-SE" sz="1600" baseline="0"/>
              <a:t> planperioden</a:t>
            </a:r>
            <a:endParaRPr lang="sv-SE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Skötselplan!$A$330</c:f>
              <c:strCache>
                <c:ptCount val="1"/>
                <c:pt idx="0">
                  <c:v>Tjur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trendline>
            <c:spPr>
              <a:ln w="19050">
                <a:solidFill>
                  <a:srgbClr val="C0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Skötselplan!$B$330:$D$330</c:f>
              <c:numCache>
                <c:formatCode>0</c:formatCode>
                <c:ptCount val="3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D3-45FE-9692-E7676E56C4F6}"/>
            </c:ext>
          </c:extLst>
        </c:ser>
        <c:ser>
          <c:idx val="3"/>
          <c:order val="1"/>
          <c:tx>
            <c:strRef>
              <c:f>Skötselplan!$A$331</c:f>
              <c:strCache>
                <c:ptCount val="1"/>
                <c:pt idx="0">
                  <c:v>Hondjur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trendline>
            <c:spPr>
              <a:ln w="19050">
                <a:solidFill>
                  <a:srgbClr val="92D05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Skötselplan!$B$331:$D$331</c:f>
              <c:numCache>
                <c:formatCode>0</c:formatCode>
                <c:ptCount val="3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D3-45FE-9692-E7676E56C4F6}"/>
            </c:ext>
          </c:extLst>
        </c:ser>
        <c:ser>
          <c:idx val="4"/>
          <c:order val="2"/>
          <c:tx>
            <c:strRef>
              <c:f>Skötselplan!$A$332</c:f>
              <c:strCache>
                <c:ptCount val="1"/>
                <c:pt idx="0">
                  <c:v>Kalv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trendline>
            <c:spPr>
              <a:ln w="19050">
                <a:solidFill>
                  <a:srgbClr val="7030A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Skötselplan!$B$332:$D$332</c:f>
              <c:numCache>
                <c:formatCode>0</c:formatCode>
                <c:ptCount val="3"/>
                <c:pt idx="0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D3-45FE-9692-E7676E56C4F6}"/>
            </c:ext>
          </c:extLst>
        </c:ser>
        <c:ser>
          <c:idx val="0"/>
          <c:order val="3"/>
          <c:tx>
            <c:strRef>
              <c:f>Skötselplan!$A$333</c:f>
              <c:strCache>
                <c:ptCount val="1"/>
                <c:pt idx="0">
                  <c:v>Antal älgar 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Skötselplan!$B$333:$D$333</c:f>
              <c:numCache>
                <c:formatCode>0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BD3-45FE-9692-E7676E56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42848"/>
        <c:axId val="154544384"/>
      </c:barChart>
      <c:catAx>
        <c:axId val="1545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544384"/>
        <c:crosses val="autoZero"/>
        <c:auto val="1"/>
        <c:lblAlgn val="ctr"/>
        <c:lblOffset val="100"/>
        <c:noMultiLvlLbl val="0"/>
      </c:catAx>
      <c:valAx>
        <c:axId val="154544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542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Avskjutningsplan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Skötselplan!$A$337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Skötselplan!$B$337:$D$337</c:f>
              <c:numCache>
                <c:formatCode>0.0</c:formatCode>
                <c:ptCount val="3"/>
                <c:pt idx="0">
                  <c:v>0.40469445568595713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5D-4805-926A-7690F282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79712"/>
        <c:axId val="154581248"/>
      </c:barChart>
      <c:catAx>
        <c:axId val="154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81248"/>
        <c:crosses val="autoZero"/>
        <c:auto val="1"/>
        <c:lblAlgn val="ctr"/>
        <c:lblOffset val="100"/>
        <c:noMultiLvlLbl val="0"/>
      </c:catAx>
      <c:valAx>
        <c:axId val="154581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5797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Älgobservationer</a:t>
            </a:r>
            <a:r>
              <a:rPr lang="sv-SE" baseline="0"/>
              <a:t> (älgobs)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615970558028073"/>
          <c:y val="0.12495191998550292"/>
          <c:w val="0.63886597055802807"/>
          <c:h val="0.67573669104279555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Skötselplan!$A$103</c:f>
              <c:strCache>
                <c:ptCount val="1"/>
                <c:pt idx="0">
                  <c:v>Observationer per mantimme</c:v>
                </c:pt>
              </c:strCache>
            </c:strRef>
          </c:tx>
          <c:val>
            <c:numRef>
              <c:f>Skötselplan!$B$103:$E$103</c:f>
              <c:numCache>
                <c:formatCode>0.000</c:formatCode>
                <c:ptCount val="4"/>
                <c:pt idx="0">
                  <c:v>3.9E-2</c:v>
                </c:pt>
                <c:pt idx="1">
                  <c:v>4.3999999999999997E-2</c:v>
                </c:pt>
                <c:pt idx="2">
                  <c:v>3.9E-2</c:v>
                </c:pt>
                <c:pt idx="3">
                  <c:v>3.1E-2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6704"/>
        <c:axId val="154710784"/>
      </c:lineChart>
      <c:lineChart>
        <c:grouping val="standard"/>
        <c:varyColors val="0"/>
        <c:ser>
          <c:idx val="1"/>
          <c:order val="1"/>
          <c:tx>
            <c:strRef>
              <c:f>Skötselplan!$A$104</c:f>
              <c:strCache>
                <c:ptCount val="1"/>
                <c:pt idx="0">
                  <c:v>Antal kalvar per hondjur</c:v>
                </c:pt>
              </c:strCache>
            </c:strRef>
          </c:tx>
          <c:val>
            <c:numRef>
              <c:f>Skötselplan!$B$104:$E$104</c:f>
              <c:numCache>
                <c:formatCode>0.000</c:formatCode>
                <c:ptCount val="4"/>
                <c:pt idx="0">
                  <c:v>0.48199999999999998</c:v>
                </c:pt>
                <c:pt idx="1">
                  <c:v>0.95499999999999996</c:v>
                </c:pt>
                <c:pt idx="2">
                  <c:v>0.61</c:v>
                </c:pt>
                <c:pt idx="3">
                  <c:v>0.53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B2-47F2-B696-9E92C4515759}"/>
            </c:ext>
          </c:extLst>
        </c:ser>
        <c:ser>
          <c:idx val="4"/>
          <c:order val="2"/>
          <c:tx>
            <c:strRef>
              <c:f>Skötselplan!$A$105</c:f>
              <c:strCache>
                <c:ptCount val="1"/>
                <c:pt idx="0">
                  <c:v>Andel tjur av vuxna</c:v>
                </c:pt>
              </c:strCache>
            </c:strRef>
          </c:tx>
          <c:val>
            <c:numRef>
              <c:f>Skötselplan!$B$105:$E$105</c:f>
              <c:numCache>
                <c:formatCode>0.0%</c:formatCode>
                <c:ptCount val="4"/>
                <c:pt idx="0">
                  <c:v>0.31</c:v>
                </c:pt>
                <c:pt idx="1">
                  <c:v>0.39</c:v>
                </c:pt>
                <c:pt idx="2">
                  <c:v>0.48</c:v>
                </c:pt>
                <c:pt idx="3">
                  <c:v>0.36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14880"/>
        <c:axId val="154712704"/>
      </c:lineChart>
      <c:catAx>
        <c:axId val="1546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10784"/>
        <c:crosses val="autoZero"/>
        <c:auto val="1"/>
        <c:lblAlgn val="ctr"/>
        <c:lblOffset val="100"/>
        <c:noMultiLvlLbl val="0"/>
      </c:catAx>
      <c:valAx>
        <c:axId val="15471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Obs/mantimme</a:t>
                </a:r>
              </a:p>
            </c:rich>
          </c:tx>
          <c:layout>
            <c:manualLayout>
              <c:xMode val="edge"/>
              <c:yMode val="edge"/>
              <c:x val="6.1835701243866253E-2"/>
              <c:y val="0.3256779428183949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154696704"/>
        <c:crossesAt val="1"/>
        <c:crossBetween val="between"/>
      </c:valAx>
      <c:valAx>
        <c:axId val="154712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 sz="1200"/>
                  <a:t>Reproduktion</a:t>
                </a:r>
                <a:r>
                  <a:rPr lang="sv-SE" sz="1200" baseline="0"/>
                  <a:t> och tjurandel</a:t>
                </a:r>
                <a:endParaRPr lang="sv-SE" sz="1200"/>
              </a:p>
            </c:rich>
          </c:tx>
          <c:layout>
            <c:manualLayout>
              <c:xMode val="edge"/>
              <c:yMode val="edge"/>
              <c:x val="0.92028985507246375"/>
              <c:y val="0.2750770741630569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154714880"/>
        <c:crosses val="max"/>
        <c:crossBetween val="between"/>
      </c:valAx>
      <c:catAx>
        <c:axId val="15471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7127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Spillningsinventering</a:t>
            </a:r>
            <a:endParaRPr lang="sv-SE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Skötselplan!$A$117</c:f>
              <c:strCache>
                <c:ptCount val="1"/>
                <c:pt idx="0">
                  <c:v>Vinterstam i antal/1000 ha (max)</c:v>
                </c:pt>
              </c:strCache>
            </c:strRef>
          </c:tx>
          <c:trendline>
            <c:spPr>
              <a:ln w="19050">
                <a:solidFill>
                  <a:srgbClr val="9BBB59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Skötselplan!$B$117:$G$117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6-4515-BA53-1930567322AA}"/>
            </c:ext>
          </c:extLst>
        </c:ser>
        <c:ser>
          <c:idx val="0"/>
          <c:order val="1"/>
          <c:tx>
            <c:strRef>
              <c:f>Skötselplan!$A$119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4F81B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Skötselplan!$B$119:$G$119</c:f>
              <c:numCache>
                <c:formatCode>0.0</c:formatCode>
                <c:ptCount val="6"/>
                <c:pt idx="0">
                  <c:v>3.511415758941308</c:v>
                </c:pt>
                <c:pt idx="1">
                  <c:v>1.6439900421174591</c:v>
                </c:pt>
                <c:pt idx="2">
                  <c:v>2.675418257054186</c:v>
                </c:pt>
                <c:pt idx="3">
                  <c:v>1.8068969255648812</c:v>
                </c:pt>
                <c:pt idx="4">
                  <c:v>1.5003610243714893</c:v>
                </c:pt>
                <c:pt idx="5">
                  <c:v>1.6399088210695485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Skötselplan!$B$111:$G$111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3C6-4515-BA53-1930567322AA}"/>
            </c:ext>
          </c:extLst>
        </c:ser>
        <c:ser>
          <c:idx val="1"/>
          <c:order val="2"/>
          <c:tx>
            <c:strRef>
              <c:f>Skötselplan!$A$120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C0504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Skötselplan!$B$120:$G$120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6-4515-BA53-1930567322AA}"/>
            </c:ext>
          </c:extLst>
        </c:ser>
        <c:ser>
          <c:idx val="3"/>
          <c:order val="3"/>
          <c:tx>
            <c:strRef>
              <c:f>Skötselplan!$A$118</c:f>
              <c:strCache>
                <c:ptCount val="1"/>
                <c:pt idx="0">
                  <c:v>Vinterstam i antal/1000 ha (min)</c:v>
                </c:pt>
              </c:strCache>
            </c:strRef>
          </c:tx>
          <c:trendline>
            <c:spPr>
              <a:ln w="19050">
                <a:solidFill>
                  <a:srgbClr val="8064A2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Skötselplan!$B$118:$G$118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6-4515-BA53-19305673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1888"/>
        <c:axId val="152983424"/>
      </c:lineChart>
      <c:catAx>
        <c:axId val="1529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2983424"/>
        <c:crosses val="autoZero"/>
        <c:auto val="1"/>
        <c:lblAlgn val="ctr"/>
        <c:lblOffset val="100"/>
        <c:noMultiLvlLbl val="0"/>
      </c:catAx>
      <c:valAx>
        <c:axId val="1529834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Index-beräknat antal per 1000 ha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52981888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Kalvvikter i kg - årsvisa värden och trendlinjer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93271754492227"/>
          <c:y val="0.18546007477696963"/>
          <c:w val="0.73304461942257215"/>
          <c:h val="0.680063214029043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Skötselplan!$A$130</c:f>
              <c:strCache>
                <c:ptCount val="1"/>
                <c:pt idx="0">
                  <c:v>Slaktvikt kg septemberjakt (vägda)</c:v>
                </c:pt>
              </c:strCache>
            </c:strRef>
          </c:tx>
          <c:invertIfNegative val="0"/>
          <c:val>
            <c:numRef>
              <c:f>Skötselplan!$D$130:$F$130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6-435D-AB97-D1F86F4AF764}"/>
            </c:ext>
          </c:extLst>
        </c:ser>
        <c:ser>
          <c:idx val="2"/>
          <c:order val="1"/>
          <c:tx>
            <c:strRef>
              <c:f>Skötselplan!$A$131</c:f>
              <c:strCache>
                <c:ptCount val="1"/>
                <c:pt idx="0">
                  <c:v>Slaktvikt kg oktoberjakt (vägda)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val>
            <c:numRef>
              <c:f>Skötselplan!$D$131:$F$131</c:f>
              <c:numCache>
                <c:formatCode>0</c:formatCode>
                <c:ptCount val="3"/>
                <c:pt idx="0">
                  <c:v>48</c:v>
                </c:pt>
                <c:pt idx="1">
                  <c:v>46</c:v>
                </c:pt>
                <c:pt idx="2">
                  <c:v>49.6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56-435D-AB97-D1F86F4AF764}"/>
            </c:ext>
          </c:extLst>
        </c:ser>
        <c:ser>
          <c:idx val="0"/>
          <c:order val="2"/>
          <c:tx>
            <c:strRef>
              <c:f>Skötselplan!$A$132</c:f>
              <c:strCache>
                <c:ptCount val="1"/>
                <c:pt idx="0">
                  <c:v>Slaktvikt kg medel (vägda)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Skötselplan!$D$132:$F$132</c:f>
              <c:numCache>
                <c:formatCode>0</c:formatCode>
                <c:ptCount val="3"/>
                <c:pt idx="0">
                  <c:v>48</c:v>
                </c:pt>
                <c:pt idx="1">
                  <c:v>46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6-435D-AB97-D1F86F4A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42304"/>
        <c:axId val="153052288"/>
      </c:barChart>
      <c:catAx>
        <c:axId val="1530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3052288"/>
        <c:crosses val="autoZero"/>
        <c:auto val="1"/>
        <c:lblAlgn val="ctr"/>
        <c:lblOffset val="100"/>
        <c:noMultiLvlLbl val="0"/>
      </c:catAx>
      <c:valAx>
        <c:axId val="1530522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Medlevikt</a:t>
                </a:r>
                <a:r>
                  <a:rPr lang="sv-SE" sz="1400" baseline="0"/>
                  <a:t> i kg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6025641025641027"/>
              <c:y val="0.45712918565915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3042304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Skogstillstånd enligt</a:t>
            </a:r>
            <a:r>
              <a:rPr lang="sv-SE" baseline="0"/>
              <a:t> </a:t>
            </a:r>
            <a:r>
              <a:rPr lang="sv-SE"/>
              <a:t>Äbin</a:t>
            </a:r>
          </a:p>
          <a:p>
            <a:pPr>
              <a:defRPr/>
            </a:pPr>
            <a:r>
              <a:rPr lang="sv-SE"/>
              <a:t>-</a:t>
            </a:r>
            <a:r>
              <a:rPr lang="sv-SE" baseline="0"/>
              <a:t> årsvisa värden samt trendlinjer</a:t>
            </a:r>
            <a:endParaRPr lang="sv-S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41745406824147"/>
          <c:y val="0.17956103600257511"/>
          <c:w val="0.60113110236220468"/>
          <c:h val="0.63607666022879217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Skötselplan!$B$240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4F81BD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Skötselplan!$E$239:$H$239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Skötselplan!$E$240:$H$240</c:f>
              <c:numCache>
                <c:formatCode>0%</c:formatCode>
                <c:ptCount val="4"/>
                <c:pt idx="1">
                  <c:v>0.28000000000000003</c:v>
                </c:pt>
                <c:pt idx="2">
                  <c:v>0.18</c:v>
                </c:pt>
                <c:pt idx="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5-48E9-A2D1-F5F7A6C4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8608"/>
        <c:axId val="154790144"/>
      </c:lineChart>
      <c:lineChart>
        <c:grouping val="standard"/>
        <c:varyColors val="0"/>
        <c:ser>
          <c:idx val="1"/>
          <c:order val="1"/>
          <c:tx>
            <c:strRef>
              <c:f>Skötselplan!$B$241</c:f>
              <c:strCache>
                <c:ptCount val="1"/>
                <c:pt idx="0">
                  <c:v>Andel stammar utan viltskador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C00000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val>
            <c:numRef>
              <c:f>Skötselplan!$E$241:$H$241</c:f>
              <c:numCache>
                <c:formatCode>0%</c:formatCode>
                <c:ptCount val="4"/>
                <c:pt idx="1">
                  <c:v>0.41</c:v>
                </c:pt>
                <c:pt idx="2">
                  <c:v>0.65</c:v>
                </c:pt>
                <c:pt idx="3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5-48E9-A2D1-F5F7A6C41321}"/>
            </c:ext>
          </c:extLst>
        </c:ser>
        <c:ser>
          <c:idx val="2"/>
          <c:order val="2"/>
          <c:tx>
            <c:strRef>
              <c:f>Skötselplan!$B$242</c:f>
              <c:strCache>
                <c:ptCount val="1"/>
                <c:pt idx="0">
                  <c:v>Andel mager mark föryngrad med tall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Skötselplan!$E$242:$H$242</c:f>
              <c:numCache>
                <c:formatCode>0%</c:formatCode>
                <c:ptCount val="4"/>
                <c:pt idx="1">
                  <c:v>0.17</c:v>
                </c:pt>
                <c:pt idx="2">
                  <c:v>0.35</c:v>
                </c:pt>
                <c:pt idx="3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05-48E9-A2D1-F5F7A6C41321}"/>
            </c:ext>
          </c:extLst>
        </c:ser>
        <c:ser>
          <c:idx val="3"/>
          <c:order val="3"/>
          <c:tx>
            <c:strRef>
              <c:f>Skötselplan!$B$243</c:f>
              <c:strCache>
                <c:ptCount val="1"/>
                <c:pt idx="0">
                  <c:v>Andel ytor med gynnsam konkurrensstatus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Skötselplan!$E$243:$H$243</c:f>
              <c:numCache>
                <c:formatCode>0%</c:formatCode>
                <c:ptCount val="4"/>
                <c:pt idx="1">
                  <c:v>0.08</c:v>
                </c:pt>
                <c:pt idx="2">
                  <c:v>0.04</c:v>
                </c:pt>
                <c:pt idx="3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05-48E9-A2D1-F5F7A6C41321}"/>
            </c:ext>
          </c:extLst>
        </c:ser>
        <c:ser>
          <c:idx val="4"/>
          <c:order val="4"/>
          <c:tx>
            <c:strRef>
              <c:f>Skötselplan!$B$244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Skötselplan!$E$244:$H$244</c:f>
              <c:numCache>
                <c:formatCode>0%</c:formatCode>
                <c:ptCount val="4"/>
                <c:pt idx="1">
                  <c:v>0.01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A-4CAA-9FB6-B1D07450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6336"/>
        <c:axId val="152764800"/>
      </c:lineChart>
      <c:catAx>
        <c:axId val="1547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790144"/>
        <c:crosses val="autoZero"/>
        <c:auto val="1"/>
        <c:lblAlgn val="ctr"/>
        <c:lblOffset val="100"/>
        <c:noMultiLvlLbl val="0"/>
      </c:catAx>
      <c:valAx>
        <c:axId val="154790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Skadeprocent</a:t>
                </a:r>
                <a:r>
                  <a:rPr lang="sv-SE" sz="1400" baseline="0"/>
                  <a:t> och/eller andelar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4405983645107945"/>
              <c:y val="0.23231524220391997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154788608"/>
        <c:crosses val="autoZero"/>
        <c:crossBetween val="between"/>
      </c:valAx>
      <c:valAx>
        <c:axId val="15276480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2766336"/>
        <c:crosses val="max"/>
        <c:crossBetween val="between"/>
      </c:valAx>
      <c:catAx>
        <c:axId val="1527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64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0146815955617581E-2"/>
          <c:y val="0.14317868566036721"/>
          <c:w val="0.54884835792741971"/>
          <c:h val="0.80855797874296642"/>
        </c:manualLayout>
      </c:layout>
      <c:lineChart>
        <c:grouping val="stacked"/>
        <c:varyColors val="0"/>
        <c:ser>
          <c:idx val="0"/>
          <c:order val="0"/>
          <c:tx>
            <c:v>Spillningsinventering</c:v>
          </c:tx>
          <c:val>
            <c:numRef>
              <c:f>'Beräkning avskjutning'!$B$37:$E$37</c:f>
              <c:numCache>
                <c:formatCode>0.0</c:formatCode>
                <c:ptCount val="4"/>
                <c:pt idx="0">
                  <c:v>2.675418257054186</c:v>
                </c:pt>
                <c:pt idx="1">
                  <c:v>1.8068969255648812</c:v>
                </c:pt>
                <c:pt idx="2">
                  <c:v>1.5003610243714893</c:v>
                </c:pt>
                <c:pt idx="3">
                  <c:v>1.6399088210695485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avskjutning'!$B$36:$E$36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3F-47F0-BAAE-D1CD0851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6224"/>
        <c:axId val="152757760"/>
      </c:lineChart>
      <c:catAx>
        <c:axId val="1527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757760"/>
        <c:crosses val="autoZero"/>
        <c:auto val="1"/>
        <c:lblAlgn val="ctr"/>
        <c:lblOffset val="100"/>
        <c:noMultiLvlLbl val="0"/>
      </c:catAx>
      <c:valAx>
        <c:axId val="152757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275622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avskjutning'!$A$30</c:f>
              <c:strCache>
                <c:ptCount val="1"/>
                <c:pt idx="0">
                  <c:v>Obs/mantimme</c:v>
                </c:pt>
              </c:strCache>
            </c:strRef>
          </c:tx>
          <c:val>
            <c:numRef>
              <c:f>'Beräkning avskjutning'!$B$30:$E$30</c:f>
              <c:numCache>
                <c:formatCode>General</c:formatCode>
                <c:ptCount val="4"/>
                <c:pt idx="0">
                  <c:v>3.9E-2</c:v>
                </c:pt>
                <c:pt idx="1">
                  <c:v>4.3999999999999997E-2</c:v>
                </c:pt>
                <c:pt idx="2">
                  <c:v>3.9E-2</c:v>
                </c:pt>
                <c:pt idx="3">
                  <c:v>3.1E-2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08-4B90-AD60-10C33927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77568"/>
        <c:axId val="188079104"/>
      </c:lineChart>
      <c:catAx>
        <c:axId val="1880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079104"/>
        <c:crosses val="autoZero"/>
        <c:auto val="1"/>
        <c:lblAlgn val="ctr"/>
        <c:lblOffset val="100"/>
        <c:noMultiLvlLbl val="0"/>
      </c:catAx>
      <c:valAx>
        <c:axId val="188079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77568"/>
        <c:crosses val="autoZero"/>
        <c:crossBetween val="between"/>
        <c:majorUnit val="1.0000000000000002E-2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Tot avsk/1000 ha</c:v>
          </c:tx>
          <c:val>
            <c:numRef>
              <c:f>'Beräkning avskjutning'!$B$12:$D$12</c:f>
              <c:numCache>
                <c:formatCode>0.0</c:formatCode>
                <c:ptCount val="3"/>
                <c:pt idx="0">
                  <c:v>1.0834236186348862</c:v>
                </c:pt>
                <c:pt idx="1">
                  <c:v>1.1349222244475599</c:v>
                </c:pt>
                <c:pt idx="2">
                  <c:v>0.86327113354140383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avskjutning'!$B$6:$D$6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97-4A81-88ED-B3D2FAAC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24960"/>
        <c:axId val="154034944"/>
      </c:lineChart>
      <c:catAx>
        <c:axId val="1540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34944"/>
        <c:crosses val="autoZero"/>
        <c:auto val="1"/>
        <c:lblAlgn val="ctr"/>
        <c:lblOffset val="100"/>
        <c:noMultiLvlLbl val="0"/>
      </c:catAx>
      <c:valAx>
        <c:axId val="154034944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0249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0.48199999999999998</c:v>
                </c:pt>
                <c:pt idx="1">
                  <c:v>0.95499999999999996</c:v>
                </c:pt>
                <c:pt idx="2">
                  <c:v>0.61</c:v>
                </c:pt>
                <c:pt idx="3">
                  <c:v>0.53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17-4CC1-AE67-058F8012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57344"/>
        <c:axId val="154071424"/>
      </c:lineChart>
      <c:catAx>
        <c:axId val="1540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71424"/>
        <c:crosses val="autoZero"/>
        <c:auto val="1"/>
        <c:lblAlgn val="ctr"/>
        <c:lblOffset val="100"/>
        <c:noMultiLvlLbl val="0"/>
      </c:catAx>
      <c:valAx>
        <c:axId val="15407142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4057344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Observerade tjurar / av vuxna</a:t>
            </a:r>
            <a:r>
              <a:rPr lang="en-US" baseline="0"/>
              <a:t> </a:t>
            </a:r>
            <a:r>
              <a:rPr lang="en-US"/>
              <a:t>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avskjutning'!$A$32</c:f>
              <c:strCache>
                <c:ptCount val="1"/>
                <c:pt idx="0">
                  <c:v>Tjur/vuxna</c:v>
                </c:pt>
              </c:strCache>
            </c:strRef>
          </c:tx>
          <c:val>
            <c:numRef>
              <c:f>'Beräkning avskjutning'!$B$32:$E$32</c:f>
              <c:numCache>
                <c:formatCode>0%</c:formatCode>
                <c:ptCount val="4"/>
                <c:pt idx="0">
                  <c:v>0.31</c:v>
                </c:pt>
                <c:pt idx="1">
                  <c:v>0.39</c:v>
                </c:pt>
                <c:pt idx="2">
                  <c:v>0.48</c:v>
                </c:pt>
                <c:pt idx="3">
                  <c:v>0.36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D4-4FDC-9DD2-F9B24BB8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0096"/>
        <c:axId val="154101632"/>
      </c:lineChart>
      <c:catAx>
        <c:axId val="15410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01632"/>
        <c:crosses val="autoZero"/>
        <c:auto val="1"/>
        <c:lblAlgn val="ctr"/>
        <c:lblOffset val="100"/>
        <c:noMultiLvlLbl val="0"/>
      </c:catAx>
      <c:valAx>
        <c:axId val="15410163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100096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'Beräkning avskjutning'!$B$201</c:f>
              <c:strCache>
                <c:ptCount val="1"/>
                <c:pt idx="0">
                  <c:v>Tjur</c:v>
                </c:pt>
              </c:strCache>
            </c:strRef>
          </c:tx>
          <c:val>
            <c:numRef>
              <c:f>'Beräkning avskjutning'!$B$202:$B$205</c:f>
              <c:numCache>
                <c:formatCode>0</c:formatCode>
                <c:ptCount val="4"/>
                <c:pt idx="0">
                  <c:v>6.3260771299384437</c:v>
                </c:pt>
                <c:pt idx="1">
                  <c:v>7.6819810192714897</c:v>
                </c:pt>
                <c:pt idx="2">
                  <c:v>10.821559472060292</c:v>
                </c:pt>
                <c:pt idx="3">
                  <c:v>17.519656514930446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ADF-49E0-8A50-3B02F4D08C10}"/>
            </c:ext>
          </c:extLst>
        </c:ser>
        <c:ser>
          <c:idx val="1"/>
          <c:order val="1"/>
          <c:tx>
            <c:strRef>
              <c:f>'Beräkning avskjutning'!$C$201</c:f>
              <c:strCache>
                <c:ptCount val="1"/>
                <c:pt idx="0">
                  <c:v>Hondjur</c:v>
                </c:pt>
              </c:strCache>
            </c:strRef>
          </c:tx>
          <c:val>
            <c:numRef>
              <c:f>'Beräkning avskjutning'!$C$202:$C$205</c:f>
              <c:numCache>
                <c:formatCode>0</c:formatCode>
                <c:ptCount val="4"/>
                <c:pt idx="0">
                  <c:v>12.378317149810435</c:v>
                </c:pt>
                <c:pt idx="1">
                  <c:v>14.291443209538556</c:v>
                </c:pt>
                <c:pt idx="2">
                  <c:v>16.901500275212086</c:v>
                </c:pt>
                <c:pt idx="3">
                  <c:v>22.807864345821354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ADF-49E0-8A50-3B02F4D08C10}"/>
            </c:ext>
          </c:extLst>
        </c:ser>
        <c:ser>
          <c:idx val="2"/>
          <c:order val="2"/>
          <c:tx>
            <c:strRef>
              <c:f>'Beräkning avskjutning'!$D$201</c:f>
              <c:strCache>
                <c:ptCount val="1"/>
                <c:pt idx="0">
                  <c:v>Kalv</c:v>
                </c:pt>
              </c:strCache>
            </c:strRef>
          </c:tx>
          <c:val>
            <c:numRef>
              <c:f>'Beräkning avskjutning'!$D$202:$D$205</c:f>
              <c:numCache>
                <c:formatCode>0</c:formatCode>
                <c:ptCount val="4"/>
                <c:pt idx="0">
                  <c:v>5.0172057202511233</c:v>
                </c:pt>
                <c:pt idx="1">
                  <c:v>6.6285724876147363</c:v>
                </c:pt>
                <c:pt idx="2">
                  <c:v>13.713383503370315</c:v>
                </c:pt>
                <c:pt idx="3">
                  <c:v>18.238604145329059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ADF-49E0-8A50-3B02F4D0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19168"/>
        <c:axId val="154153728"/>
      </c:areaChart>
      <c:catAx>
        <c:axId val="1541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53728"/>
        <c:crosses val="autoZero"/>
        <c:auto val="1"/>
        <c:lblAlgn val="ctr"/>
        <c:lblOffset val="100"/>
        <c:noMultiLvlLbl val="0"/>
      </c:catAx>
      <c:valAx>
        <c:axId val="154153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4119168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Total avskjutning inom ÄFO på årsbasis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Skötselplan!$A$85</c:f>
              <c:strCache>
                <c:ptCount val="1"/>
                <c:pt idx="0">
                  <c:v>Tjur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C0504D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Skötselplan!$B$85:$D$85</c:f>
              <c:numCache>
                <c:formatCode>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44-42A4-9274-00FD2C9738C9}"/>
            </c:ext>
          </c:extLst>
        </c:ser>
        <c:ser>
          <c:idx val="2"/>
          <c:order val="1"/>
          <c:tx>
            <c:strRef>
              <c:f>Skötselplan!$A$86</c:f>
              <c:strCache>
                <c:ptCount val="1"/>
                <c:pt idx="0">
                  <c:v>Hondjur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9BBB59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Skötselplan!$B$86:$D$86</c:f>
              <c:numCache>
                <c:formatCode>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44-42A4-9274-00FD2C9738C9}"/>
            </c:ext>
          </c:extLst>
        </c:ser>
        <c:ser>
          <c:idx val="3"/>
          <c:order val="2"/>
          <c:tx>
            <c:strRef>
              <c:f>Skötselplan!$A$87</c:f>
              <c:strCache>
                <c:ptCount val="1"/>
                <c:pt idx="0">
                  <c:v>Kalv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Skötselplan!$B$87:$D$87</c:f>
              <c:numCache>
                <c:formatCode>0</c:formatCode>
                <c:ptCount val="3"/>
                <c:pt idx="0">
                  <c:v>9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44-42A4-9274-00FD2C9738C9}"/>
            </c:ext>
          </c:extLst>
        </c:ser>
        <c:ser>
          <c:idx val="4"/>
          <c:order val="3"/>
          <c:tx>
            <c:strRef>
              <c:f>Skötselplan!$A$88</c:f>
              <c:strCache>
                <c:ptCount val="1"/>
                <c:pt idx="0">
                  <c:v>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Skötselplan!$B$88:$D$88</c:f>
              <c:numCache>
                <c:formatCode>0</c:formatCode>
                <c:ptCount val="3"/>
                <c:pt idx="0">
                  <c:v>16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44-42A4-9274-00FD2C97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47936"/>
        <c:axId val="154249472"/>
      </c:barChart>
      <c:catAx>
        <c:axId val="1542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4249472"/>
        <c:crosses val="autoZero"/>
        <c:auto val="1"/>
        <c:lblAlgn val="ctr"/>
        <c:lblOffset val="100"/>
        <c:noMultiLvlLbl val="0"/>
      </c:catAx>
      <c:valAx>
        <c:axId val="15424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4247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Skötselplan!$A$89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Skötselplan!$B$89:$D$89</c:f>
              <c:numCache>
                <c:formatCode>0.0</c:formatCode>
                <c:ptCount val="3"/>
                <c:pt idx="0">
                  <c:v>1.0834236186348862</c:v>
                </c:pt>
                <c:pt idx="1">
                  <c:v>1.1349222244475599</c:v>
                </c:pt>
                <c:pt idx="2">
                  <c:v>0.86327113354140383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5A-4259-BD20-2F807A99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2992"/>
        <c:axId val="154294528"/>
      </c:barChart>
      <c:catAx>
        <c:axId val="1542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94528"/>
        <c:crosses val="autoZero"/>
        <c:auto val="1"/>
        <c:lblAlgn val="ctr"/>
        <c:lblOffset val="100"/>
        <c:noMultiLvlLbl val="0"/>
      </c:catAx>
      <c:valAx>
        <c:axId val="154294528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429299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Utdata!$JP$2" lockText="1"/>
</file>

<file path=xl/ctrlProps/ctrlProp10.xml><?xml version="1.0" encoding="utf-8"?>
<formControlPr xmlns="http://schemas.microsoft.com/office/spreadsheetml/2009/9/main" objectType="CheckBox" fmlaLink="Utdata!$EW$2" lockText="1"/>
</file>

<file path=xl/ctrlProps/ctrlProp100.xml><?xml version="1.0" encoding="utf-8"?>
<formControlPr xmlns="http://schemas.microsoft.com/office/spreadsheetml/2009/9/main" objectType="CheckBox" fmlaLink="$T$9" lockText="1"/>
</file>

<file path=xl/ctrlProps/ctrlProp101.xml><?xml version="1.0" encoding="utf-8"?>
<formControlPr xmlns="http://schemas.microsoft.com/office/spreadsheetml/2009/9/main" objectType="CheckBox" fmlaLink="$T$36" lockText="1"/>
</file>

<file path=xl/ctrlProps/ctrlProp102.xml><?xml version="1.0" encoding="utf-8"?>
<formControlPr xmlns="http://schemas.microsoft.com/office/spreadsheetml/2009/9/main" objectType="CheckBox" fmlaLink="$T$51" lockText="1"/>
</file>

<file path=xl/ctrlProps/ctrlProp103.xml><?xml version="1.0" encoding="utf-8"?>
<formControlPr xmlns="http://schemas.microsoft.com/office/spreadsheetml/2009/9/main" objectType="CheckBox" fmlaLink="$T$52" lockText="1"/>
</file>

<file path=xl/ctrlProps/ctrlProp104.xml><?xml version="1.0" encoding="utf-8"?>
<formControlPr xmlns="http://schemas.microsoft.com/office/spreadsheetml/2009/9/main" objectType="CheckBox" fmlaLink="$T$53" lockText="1"/>
</file>

<file path=xl/ctrlProps/ctrlProp105.xml><?xml version="1.0" encoding="utf-8"?>
<formControlPr xmlns="http://schemas.microsoft.com/office/spreadsheetml/2009/9/main" objectType="CheckBox" fmlaLink="$T$54" lockText="1"/>
</file>

<file path=xl/ctrlProps/ctrlProp106.xml><?xml version="1.0" encoding="utf-8"?>
<formControlPr xmlns="http://schemas.microsoft.com/office/spreadsheetml/2009/9/main" objectType="CheckBox" fmlaLink="$T$55" lockText="1"/>
</file>

<file path=xl/ctrlProps/ctrlProp107.xml><?xml version="1.0" encoding="utf-8"?>
<formControlPr xmlns="http://schemas.microsoft.com/office/spreadsheetml/2009/9/main" objectType="CheckBox" fmlaLink="$T$56" lockText="1"/>
</file>

<file path=xl/ctrlProps/ctrlProp108.xml><?xml version="1.0" encoding="utf-8"?>
<formControlPr xmlns="http://schemas.microsoft.com/office/spreadsheetml/2009/9/main" objectType="CheckBox" fmlaLink="$T$9" lockText="1"/>
</file>

<file path=xl/ctrlProps/ctrlProp109.xml><?xml version="1.0" encoding="utf-8"?>
<formControlPr xmlns="http://schemas.microsoft.com/office/spreadsheetml/2009/9/main" objectType="CheckBox" fmlaLink="$T$57" lockText="1"/>
</file>

<file path=xl/ctrlProps/ctrlProp11.xml><?xml version="1.0" encoding="utf-8"?>
<formControlPr xmlns="http://schemas.microsoft.com/office/spreadsheetml/2009/9/main" objectType="CheckBox" fmlaLink="Utdata!$ER$2" lockText="1"/>
</file>

<file path=xl/ctrlProps/ctrlProp110.xml><?xml version="1.0" encoding="utf-8"?>
<formControlPr xmlns="http://schemas.microsoft.com/office/spreadsheetml/2009/9/main" objectType="CheckBox" fmlaLink="$T$9" lockText="1"/>
</file>

<file path=xl/ctrlProps/ctrlProp111.xml><?xml version="1.0" encoding="utf-8"?>
<formControlPr xmlns="http://schemas.microsoft.com/office/spreadsheetml/2009/9/main" objectType="CheckBox" fmlaLink="$T$58" lockText="1"/>
</file>

<file path=xl/ctrlProps/ctrlProp112.xml><?xml version="1.0" encoding="utf-8"?>
<formControlPr xmlns="http://schemas.microsoft.com/office/spreadsheetml/2009/9/main" objectType="CheckBox" fmlaLink="$T$9" lockText="1"/>
</file>

<file path=xl/ctrlProps/ctrlProp113.xml><?xml version="1.0" encoding="utf-8"?>
<formControlPr xmlns="http://schemas.microsoft.com/office/spreadsheetml/2009/9/main" objectType="CheckBox" fmlaLink="$T$8" lockText="1"/>
</file>

<file path=xl/ctrlProps/ctrlProp114.xml><?xml version="1.0" encoding="utf-8"?>
<formControlPr xmlns="http://schemas.microsoft.com/office/spreadsheetml/2009/9/main" objectType="CheckBox" fmlaLink="$T$59" lockText="1"/>
</file>

<file path=xl/ctrlProps/ctrlProp115.xml><?xml version="1.0" encoding="utf-8"?>
<formControlPr xmlns="http://schemas.microsoft.com/office/spreadsheetml/2009/9/main" objectType="CheckBox" fmlaLink="$T$9" lockText="1"/>
</file>

<file path=xl/ctrlProps/ctrlProp116.xml><?xml version="1.0" encoding="utf-8"?>
<formControlPr xmlns="http://schemas.microsoft.com/office/spreadsheetml/2009/9/main" objectType="CheckBox" fmlaLink="$T$60" lockText="1"/>
</file>

<file path=xl/ctrlProps/ctrlProp117.xml><?xml version="1.0" encoding="utf-8"?>
<formControlPr xmlns="http://schemas.microsoft.com/office/spreadsheetml/2009/9/main" objectType="CheckBox" fmlaLink="$T$75" lockText="1"/>
</file>

<file path=xl/ctrlProps/ctrlProp118.xml><?xml version="1.0" encoding="utf-8"?>
<formControlPr xmlns="http://schemas.microsoft.com/office/spreadsheetml/2009/9/main" objectType="CheckBox" fmlaLink="$T$76" lockText="1"/>
</file>

<file path=xl/ctrlProps/ctrlProp119.xml><?xml version="1.0" encoding="utf-8"?>
<formControlPr xmlns="http://schemas.microsoft.com/office/spreadsheetml/2009/9/main" objectType="CheckBox" fmlaLink="$T$77" lockText="1"/>
</file>

<file path=xl/ctrlProps/ctrlProp12.xml><?xml version="1.0" encoding="utf-8"?>
<formControlPr xmlns="http://schemas.microsoft.com/office/spreadsheetml/2009/9/main" objectType="CheckBox" checked="Checked" fmlaLink="Utdata!$ES$2" lockText="1"/>
</file>

<file path=xl/ctrlProps/ctrlProp120.xml><?xml version="1.0" encoding="utf-8"?>
<formControlPr xmlns="http://schemas.microsoft.com/office/spreadsheetml/2009/9/main" objectType="CheckBox" fmlaLink="$T$78" lockText="1"/>
</file>

<file path=xl/ctrlProps/ctrlProp121.xml><?xml version="1.0" encoding="utf-8"?>
<formControlPr xmlns="http://schemas.microsoft.com/office/spreadsheetml/2009/9/main" objectType="CheckBox" fmlaLink="$T$79" lockText="1"/>
</file>

<file path=xl/ctrlProps/ctrlProp122.xml><?xml version="1.0" encoding="utf-8"?>
<formControlPr xmlns="http://schemas.microsoft.com/office/spreadsheetml/2009/9/main" objectType="CheckBox" fmlaLink="$T$80" lockText="1"/>
</file>

<file path=xl/ctrlProps/ctrlProp123.xml><?xml version="1.0" encoding="utf-8"?>
<formControlPr xmlns="http://schemas.microsoft.com/office/spreadsheetml/2009/9/main" objectType="CheckBox" fmlaLink="$T$9" lockText="1"/>
</file>

<file path=xl/ctrlProps/ctrlProp124.xml><?xml version="1.0" encoding="utf-8"?>
<formControlPr xmlns="http://schemas.microsoft.com/office/spreadsheetml/2009/9/main" objectType="CheckBox" fmlaLink="$T$81" lockText="1"/>
</file>

<file path=xl/ctrlProps/ctrlProp125.xml><?xml version="1.0" encoding="utf-8"?>
<formControlPr xmlns="http://schemas.microsoft.com/office/spreadsheetml/2009/9/main" objectType="CheckBox" fmlaLink="$T$9" lockText="1"/>
</file>

<file path=xl/ctrlProps/ctrlProp126.xml><?xml version="1.0" encoding="utf-8"?>
<formControlPr xmlns="http://schemas.microsoft.com/office/spreadsheetml/2009/9/main" objectType="CheckBox" fmlaLink="$T$82" lockText="1"/>
</file>

<file path=xl/ctrlProps/ctrlProp127.xml><?xml version="1.0" encoding="utf-8"?>
<formControlPr xmlns="http://schemas.microsoft.com/office/spreadsheetml/2009/9/main" objectType="CheckBox" fmlaLink="$T$9" lockText="1"/>
</file>

<file path=xl/ctrlProps/ctrlProp128.xml><?xml version="1.0" encoding="utf-8"?>
<formControlPr xmlns="http://schemas.microsoft.com/office/spreadsheetml/2009/9/main" objectType="CheckBox" fmlaLink="$T$8" lockText="1"/>
</file>

<file path=xl/ctrlProps/ctrlProp129.xml><?xml version="1.0" encoding="utf-8"?>
<formControlPr xmlns="http://schemas.microsoft.com/office/spreadsheetml/2009/9/main" objectType="CheckBox" fmlaLink="$T$83" lockText="1"/>
</file>

<file path=xl/ctrlProps/ctrlProp13.xml><?xml version="1.0" encoding="utf-8"?>
<formControlPr xmlns="http://schemas.microsoft.com/office/spreadsheetml/2009/9/main" objectType="CheckBox" fmlaLink="Utdata!$ET$2" lockText="1"/>
</file>

<file path=xl/ctrlProps/ctrlProp130.xml><?xml version="1.0" encoding="utf-8"?>
<formControlPr xmlns="http://schemas.microsoft.com/office/spreadsheetml/2009/9/main" objectType="CheckBox" fmlaLink="$T$9" lockText="1"/>
</file>

<file path=xl/ctrlProps/ctrlProp131.xml><?xml version="1.0" encoding="utf-8"?>
<formControlPr xmlns="http://schemas.microsoft.com/office/spreadsheetml/2009/9/main" objectType="CheckBox" fmlaLink="$T$84" lockText="1"/>
</file>

<file path=xl/ctrlProps/ctrlProp132.xml><?xml version="1.0" encoding="utf-8"?>
<formControlPr xmlns="http://schemas.microsoft.com/office/spreadsheetml/2009/9/main" objectType="CheckBox" fmlaLink="$T$99" lockText="1"/>
</file>

<file path=xl/ctrlProps/ctrlProp133.xml><?xml version="1.0" encoding="utf-8"?>
<formControlPr xmlns="http://schemas.microsoft.com/office/spreadsheetml/2009/9/main" objectType="CheckBox" fmlaLink="$T$100" lockText="1"/>
</file>

<file path=xl/ctrlProps/ctrlProp134.xml><?xml version="1.0" encoding="utf-8"?>
<formControlPr xmlns="http://schemas.microsoft.com/office/spreadsheetml/2009/9/main" objectType="CheckBox" fmlaLink="$T$101" lockText="1"/>
</file>

<file path=xl/ctrlProps/ctrlProp135.xml><?xml version="1.0" encoding="utf-8"?>
<formControlPr xmlns="http://schemas.microsoft.com/office/spreadsheetml/2009/9/main" objectType="CheckBox" fmlaLink="$T$102" lockText="1"/>
</file>

<file path=xl/ctrlProps/ctrlProp136.xml><?xml version="1.0" encoding="utf-8"?>
<formControlPr xmlns="http://schemas.microsoft.com/office/spreadsheetml/2009/9/main" objectType="CheckBox" fmlaLink="$T$103" lockText="1"/>
</file>

<file path=xl/ctrlProps/ctrlProp137.xml><?xml version="1.0" encoding="utf-8"?>
<formControlPr xmlns="http://schemas.microsoft.com/office/spreadsheetml/2009/9/main" objectType="CheckBox" fmlaLink="$T$104" lockText="1"/>
</file>

<file path=xl/ctrlProps/ctrlProp138.xml><?xml version="1.0" encoding="utf-8"?>
<formControlPr xmlns="http://schemas.microsoft.com/office/spreadsheetml/2009/9/main" objectType="CheckBox" fmlaLink="$T$9" lockText="1"/>
</file>

<file path=xl/ctrlProps/ctrlProp139.xml><?xml version="1.0" encoding="utf-8"?>
<formControlPr xmlns="http://schemas.microsoft.com/office/spreadsheetml/2009/9/main" objectType="CheckBox" fmlaLink="$T$105" lockText="1"/>
</file>

<file path=xl/ctrlProps/ctrlProp14.xml><?xml version="1.0" encoding="utf-8"?>
<formControlPr xmlns="http://schemas.microsoft.com/office/spreadsheetml/2009/9/main" objectType="CheckBox" fmlaLink="Utdata!$EB$2" lockText="1"/>
</file>

<file path=xl/ctrlProps/ctrlProp140.xml><?xml version="1.0" encoding="utf-8"?>
<formControlPr xmlns="http://schemas.microsoft.com/office/spreadsheetml/2009/9/main" objectType="CheckBox" fmlaLink="$T$9" lockText="1"/>
</file>

<file path=xl/ctrlProps/ctrlProp141.xml><?xml version="1.0" encoding="utf-8"?>
<formControlPr xmlns="http://schemas.microsoft.com/office/spreadsheetml/2009/9/main" objectType="CheckBox" fmlaLink="$T$106" lockText="1"/>
</file>

<file path=xl/ctrlProps/ctrlProp142.xml><?xml version="1.0" encoding="utf-8"?>
<formControlPr xmlns="http://schemas.microsoft.com/office/spreadsheetml/2009/9/main" objectType="CheckBox" fmlaLink="$T$9" lockText="1"/>
</file>

<file path=xl/ctrlProps/ctrlProp143.xml><?xml version="1.0" encoding="utf-8"?>
<formControlPr xmlns="http://schemas.microsoft.com/office/spreadsheetml/2009/9/main" objectType="CheckBox" fmlaLink="$T$8" lockText="1"/>
</file>

<file path=xl/ctrlProps/ctrlProp144.xml><?xml version="1.0" encoding="utf-8"?>
<formControlPr xmlns="http://schemas.microsoft.com/office/spreadsheetml/2009/9/main" objectType="CheckBox" fmlaLink="$T$107" lockText="1"/>
</file>

<file path=xl/ctrlProps/ctrlProp145.xml><?xml version="1.0" encoding="utf-8"?>
<formControlPr xmlns="http://schemas.microsoft.com/office/spreadsheetml/2009/9/main" objectType="CheckBox" fmlaLink="$T$9" lockText="1"/>
</file>

<file path=xl/ctrlProps/ctrlProp146.xml><?xml version="1.0" encoding="utf-8"?>
<formControlPr xmlns="http://schemas.microsoft.com/office/spreadsheetml/2009/9/main" objectType="CheckBox" fmlaLink="$T$108" lockText="1"/>
</file>

<file path=xl/ctrlProps/ctrlProp147.xml><?xml version="1.0" encoding="utf-8"?>
<formControlPr xmlns="http://schemas.microsoft.com/office/spreadsheetml/2009/9/main" objectType="CheckBox" fmlaLink="$T$123" lockText="1"/>
</file>

<file path=xl/ctrlProps/ctrlProp148.xml><?xml version="1.0" encoding="utf-8"?>
<formControlPr xmlns="http://schemas.microsoft.com/office/spreadsheetml/2009/9/main" objectType="CheckBox" fmlaLink="$T$124" lockText="1"/>
</file>

<file path=xl/ctrlProps/ctrlProp149.xml><?xml version="1.0" encoding="utf-8"?>
<formControlPr xmlns="http://schemas.microsoft.com/office/spreadsheetml/2009/9/main" objectType="CheckBox" fmlaLink="$T$125" lockText="1"/>
</file>

<file path=xl/ctrlProps/ctrlProp15.xml><?xml version="1.0" encoding="utf-8"?>
<formControlPr xmlns="http://schemas.microsoft.com/office/spreadsheetml/2009/9/main" objectType="CheckBox" fmlaLink="Utdata!$EC$2" lockText="1"/>
</file>

<file path=xl/ctrlProps/ctrlProp150.xml><?xml version="1.0" encoding="utf-8"?>
<formControlPr xmlns="http://schemas.microsoft.com/office/spreadsheetml/2009/9/main" objectType="CheckBox" fmlaLink="$T$126" lockText="1"/>
</file>

<file path=xl/ctrlProps/ctrlProp151.xml><?xml version="1.0" encoding="utf-8"?>
<formControlPr xmlns="http://schemas.microsoft.com/office/spreadsheetml/2009/9/main" objectType="CheckBox" fmlaLink="$T$127" lockText="1"/>
</file>

<file path=xl/ctrlProps/ctrlProp152.xml><?xml version="1.0" encoding="utf-8"?>
<formControlPr xmlns="http://schemas.microsoft.com/office/spreadsheetml/2009/9/main" objectType="CheckBox" fmlaLink="$T$128" lockText="1"/>
</file>

<file path=xl/ctrlProps/ctrlProp153.xml><?xml version="1.0" encoding="utf-8"?>
<formControlPr xmlns="http://schemas.microsoft.com/office/spreadsheetml/2009/9/main" objectType="CheckBox" fmlaLink="$T$9" lockText="1"/>
</file>

<file path=xl/ctrlProps/ctrlProp154.xml><?xml version="1.0" encoding="utf-8"?>
<formControlPr xmlns="http://schemas.microsoft.com/office/spreadsheetml/2009/9/main" objectType="CheckBox" fmlaLink="$T$129" lockText="1"/>
</file>

<file path=xl/ctrlProps/ctrlProp155.xml><?xml version="1.0" encoding="utf-8"?>
<formControlPr xmlns="http://schemas.microsoft.com/office/spreadsheetml/2009/9/main" objectType="CheckBox" fmlaLink="$T$9" lockText="1"/>
</file>

<file path=xl/ctrlProps/ctrlProp156.xml><?xml version="1.0" encoding="utf-8"?>
<formControlPr xmlns="http://schemas.microsoft.com/office/spreadsheetml/2009/9/main" objectType="CheckBox" fmlaLink="$T$130" lockText="1"/>
</file>

<file path=xl/ctrlProps/ctrlProp157.xml><?xml version="1.0" encoding="utf-8"?>
<formControlPr xmlns="http://schemas.microsoft.com/office/spreadsheetml/2009/9/main" objectType="CheckBox" fmlaLink="$T$9" lockText="1"/>
</file>

<file path=xl/ctrlProps/ctrlProp158.xml><?xml version="1.0" encoding="utf-8"?>
<formControlPr xmlns="http://schemas.microsoft.com/office/spreadsheetml/2009/9/main" objectType="CheckBox" fmlaLink="$T$8" lockText="1"/>
</file>

<file path=xl/ctrlProps/ctrlProp159.xml><?xml version="1.0" encoding="utf-8"?>
<formControlPr xmlns="http://schemas.microsoft.com/office/spreadsheetml/2009/9/main" objectType="CheckBox" fmlaLink="$T$131" lockText="1"/>
</file>

<file path=xl/ctrlProps/ctrlProp16.xml><?xml version="1.0" encoding="utf-8"?>
<formControlPr xmlns="http://schemas.microsoft.com/office/spreadsheetml/2009/9/main" objectType="CheckBox" checked="Checked" fmlaLink="Utdata!$ED$2" lockText="1"/>
</file>

<file path=xl/ctrlProps/ctrlProp160.xml><?xml version="1.0" encoding="utf-8"?>
<formControlPr xmlns="http://schemas.microsoft.com/office/spreadsheetml/2009/9/main" objectType="CheckBox" fmlaLink="$T$9" lockText="1"/>
</file>

<file path=xl/ctrlProps/ctrlProp161.xml><?xml version="1.0" encoding="utf-8"?>
<formControlPr xmlns="http://schemas.microsoft.com/office/spreadsheetml/2009/9/main" objectType="CheckBox" fmlaLink="$T$132" lockText="1"/>
</file>

<file path=xl/ctrlProps/ctrlProp162.xml><?xml version="1.0" encoding="utf-8"?>
<formControlPr xmlns="http://schemas.microsoft.com/office/spreadsheetml/2009/9/main" objectType="CheckBox" fmlaLink="$T$9" lockText="1"/>
</file>

<file path=xl/ctrlProps/ctrlProp163.xml><?xml version="1.0" encoding="utf-8"?>
<formControlPr xmlns="http://schemas.microsoft.com/office/spreadsheetml/2009/9/main" objectType="CheckBox" fmlaLink="$T$12" lockText="1"/>
</file>

<file path=xl/ctrlProps/ctrlProp164.xml><?xml version="1.0" encoding="utf-8"?>
<formControlPr xmlns="http://schemas.microsoft.com/office/spreadsheetml/2009/9/main" objectType="CheckBox" fmlaLink="$T$9" lockText="1"/>
</file>

<file path=xl/ctrlProps/ctrlProp165.xml><?xml version="1.0" encoding="utf-8"?>
<formControlPr xmlns="http://schemas.microsoft.com/office/spreadsheetml/2009/9/main" objectType="CheckBox" fmlaLink="$T$12" lockText="1"/>
</file>

<file path=xl/ctrlProps/ctrlProp166.xml><?xml version="1.0" encoding="utf-8"?>
<formControlPr xmlns="http://schemas.microsoft.com/office/spreadsheetml/2009/9/main" objectType="CheckBox" fmlaLink="$T$9" lockText="1"/>
</file>

<file path=xl/ctrlProps/ctrlProp167.xml><?xml version="1.0" encoding="utf-8"?>
<formControlPr xmlns="http://schemas.microsoft.com/office/spreadsheetml/2009/9/main" objectType="CheckBox" fmlaLink="$T$12" lockText="1"/>
</file>

<file path=xl/ctrlProps/ctrlProp168.xml><?xml version="1.0" encoding="utf-8"?>
<formControlPr xmlns="http://schemas.microsoft.com/office/spreadsheetml/2009/9/main" objectType="CheckBox" fmlaLink="$T$9" lockText="1"/>
</file>

<file path=xl/ctrlProps/ctrlProp169.xml><?xml version="1.0" encoding="utf-8"?>
<formControlPr xmlns="http://schemas.microsoft.com/office/spreadsheetml/2009/9/main" objectType="CheckBox" fmlaLink="$T$12" lockText="1"/>
</file>

<file path=xl/ctrlProps/ctrlProp17.xml><?xml version="1.0" encoding="utf-8"?>
<formControlPr xmlns="http://schemas.microsoft.com/office/spreadsheetml/2009/9/main" objectType="CheckBox" fmlaLink="Utdata!$FO$2" lockText="1"/>
</file>

<file path=xl/ctrlProps/ctrlProp170.xml><?xml version="1.0" encoding="utf-8"?>
<formControlPr xmlns="http://schemas.microsoft.com/office/spreadsheetml/2009/9/main" objectType="CheckBox" fmlaLink="$T$9" lockText="1"/>
</file>

<file path=xl/ctrlProps/ctrlProp171.xml><?xml version="1.0" encoding="utf-8"?>
<formControlPr xmlns="http://schemas.microsoft.com/office/spreadsheetml/2009/9/main" objectType="CheckBox" fmlaLink="$T$12" lockText="1"/>
</file>

<file path=xl/ctrlProps/ctrlProp18.xml><?xml version="1.0" encoding="utf-8"?>
<formControlPr xmlns="http://schemas.microsoft.com/office/spreadsheetml/2009/9/main" objectType="CheckBox" fmlaLink="Utdata!$FP$2" lockText="1"/>
</file>

<file path=xl/ctrlProps/ctrlProp19.xml><?xml version="1.0" encoding="utf-8"?>
<formControlPr xmlns="http://schemas.microsoft.com/office/spreadsheetml/2009/9/main" objectType="CheckBox" fmlaLink="Utdata!$FQ$2" lockText="1"/>
</file>

<file path=xl/ctrlProps/ctrlProp2.xml><?xml version="1.0" encoding="utf-8"?>
<formControlPr xmlns="http://schemas.microsoft.com/office/spreadsheetml/2009/9/main" objectType="CheckBox" fmlaLink="Utdata!$EL$2" lockText="1"/>
</file>

<file path=xl/ctrlProps/ctrlProp20.xml><?xml version="1.0" encoding="utf-8"?>
<formControlPr xmlns="http://schemas.microsoft.com/office/spreadsheetml/2009/9/main" objectType="CheckBox" fmlaLink="Utdata!$GL$2" lockText="1"/>
</file>

<file path=xl/ctrlProps/ctrlProp21.xml><?xml version="1.0" encoding="utf-8"?>
<formControlPr xmlns="http://schemas.microsoft.com/office/spreadsheetml/2009/9/main" objectType="CheckBox" fmlaLink="Utdata!$GM$2" lockText="1"/>
</file>

<file path=xl/ctrlProps/ctrlProp22.xml><?xml version="1.0" encoding="utf-8"?>
<formControlPr xmlns="http://schemas.microsoft.com/office/spreadsheetml/2009/9/main" objectType="CheckBox" fmlaLink="Utdata!$GN$2" lockText="1"/>
</file>

<file path=xl/ctrlProps/ctrlProp23.xml><?xml version="1.0" encoding="utf-8"?>
<formControlPr xmlns="http://schemas.microsoft.com/office/spreadsheetml/2009/9/main" objectType="CheckBox" fmlaLink="Utdata!$GO$2" lockText="1"/>
</file>

<file path=xl/ctrlProps/ctrlProp24.xml><?xml version="1.0" encoding="utf-8"?>
<formControlPr xmlns="http://schemas.microsoft.com/office/spreadsheetml/2009/9/main" objectType="CheckBox" fmlaLink="Utdata!$GU$2" lockText="1"/>
</file>

<file path=xl/ctrlProps/ctrlProp25.xml><?xml version="1.0" encoding="utf-8"?>
<formControlPr xmlns="http://schemas.microsoft.com/office/spreadsheetml/2009/9/main" objectType="CheckBox" checked="Checked" fmlaLink="Utdata!$GT$2" lockText="1"/>
</file>

<file path=xl/ctrlProps/ctrlProp26.xml><?xml version="1.0" encoding="utf-8"?>
<formControlPr xmlns="http://schemas.microsoft.com/office/spreadsheetml/2009/9/main" objectType="CheckBox" fmlaLink="Utdata!$JY$2" lockText="1"/>
</file>

<file path=xl/ctrlProps/ctrlProp27.xml><?xml version="1.0" encoding="utf-8"?>
<formControlPr xmlns="http://schemas.microsoft.com/office/spreadsheetml/2009/9/main" objectType="CheckBox" fmlaLink="Utdata!$JX$2" lockText="1"/>
</file>

<file path=xl/ctrlProps/ctrlProp28.xml><?xml version="1.0" encoding="utf-8"?>
<formControlPr xmlns="http://schemas.microsoft.com/office/spreadsheetml/2009/9/main" objectType="CheckBox" fmlaLink="Utdata!$JZ$2" lockText="1"/>
</file>

<file path=xl/ctrlProps/ctrlProp29.xml><?xml version="1.0" encoding="utf-8"?>
<formControlPr xmlns="http://schemas.microsoft.com/office/spreadsheetml/2009/9/main" objectType="CheckBox" checked="Checked" fmlaLink="Utdata!$KA$2" lockText="1"/>
</file>

<file path=xl/ctrlProps/ctrlProp3.xml><?xml version="1.0" encoding="utf-8"?>
<formControlPr xmlns="http://schemas.microsoft.com/office/spreadsheetml/2009/9/main" objectType="CheckBox" checked="Checked" fmlaLink="Utdata!$EM$2" lockText="1"/>
</file>

<file path=xl/ctrlProps/ctrlProp30.xml><?xml version="1.0" encoding="utf-8"?>
<formControlPr xmlns="http://schemas.microsoft.com/office/spreadsheetml/2009/9/main" objectType="CheckBox" checked="Checked" fmlaLink="Utdata!$KB$2" lockText="1"/>
</file>

<file path=xl/ctrlProps/ctrlProp31.xml><?xml version="1.0" encoding="utf-8"?>
<formControlPr xmlns="http://schemas.microsoft.com/office/spreadsheetml/2009/9/main" objectType="CheckBox" checked="Checked" fmlaLink="Utdata!$KC$2" lockText="1"/>
</file>

<file path=xl/ctrlProps/ctrlProp32.xml><?xml version="1.0" encoding="utf-8"?>
<formControlPr xmlns="http://schemas.microsoft.com/office/spreadsheetml/2009/9/main" objectType="CheckBox" fmlaLink="Utdata!$KD$2" lockText="1"/>
</file>

<file path=xl/ctrlProps/ctrlProp33.xml><?xml version="1.0" encoding="utf-8"?>
<formControlPr xmlns="http://schemas.microsoft.com/office/spreadsheetml/2009/9/main" objectType="CheckBox" fmlaLink="Utdata!$KE$2" lockText="1"/>
</file>

<file path=xl/ctrlProps/ctrlProp34.xml><?xml version="1.0" encoding="utf-8"?>
<formControlPr xmlns="http://schemas.microsoft.com/office/spreadsheetml/2009/9/main" objectType="CheckBox" fmlaLink="Utdata!$KF$2" lockText="1"/>
</file>

<file path=xl/ctrlProps/ctrlProp35.xml><?xml version="1.0" encoding="utf-8"?>
<formControlPr xmlns="http://schemas.microsoft.com/office/spreadsheetml/2009/9/main" objectType="CheckBox" checked="Checked" fmlaLink="Utdata!$KG$2" lockText="1"/>
</file>

<file path=xl/ctrlProps/ctrlProp36.xml><?xml version="1.0" encoding="utf-8"?>
<formControlPr xmlns="http://schemas.microsoft.com/office/spreadsheetml/2009/9/main" objectType="CheckBox" checked="Checked" fmlaLink="Utdata!$KH$2" lockText="1"/>
</file>

<file path=xl/ctrlProps/ctrlProp37.xml><?xml version="1.0" encoding="utf-8"?>
<formControlPr xmlns="http://schemas.microsoft.com/office/spreadsheetml/2009/9/main" objectType="CheckBox" checked="Checked" fmlaLink="Utdata!$KI$2" lockText="1"/>
</file>

<file path=xl/ctrlProps/ctrlProp38.xml><?xml version="1.0" encoding="utf-8"?>
<formControlPr xmlns="http://schemas.microsoft.com/office/spreadsheetml/2009/9/main" objectType="CheckBox" checked="Checked" fmlaLink="Utdata!$KJ$2" lockText="1"/>
</file>

<file path=xl/ctrlProps/ctrlProp39.xml><?xml version="1.0" encoding="utf-8"?>
<formControlPr xmlns="http://schemas.microsoft.com/office/spreadsheetml/2009/9/main" objectType="CheckBox" checked="Checked" fmlaLink="Utdata!$KK$2" lockText="1"/>
</file>

<file path=xl/ctrlProps/ctrlProp4.xml><?xml version="1.0" encoding="utf-8"?>
<formControlPr xmlns="http://schemas.microsoft.com/office/spreadsheetml/2009/9/main" objectType="CheckBox" fmlaLink="Utdata!$EN$2" lockText="1"/>
</file>

<file path=xl/ctrlProps/ctrlProp40.xml><?xml version="1.0" encoding="utf-8"?>
<formControlPr xmlns="http://schemas.microsoft.com/office/spreadsheetml/2009/9/main" objectType="CheckBox" checked="Checked" fmlaLink="Utdata!$KL$2" lockText="1"/>
</file>

<file path=xl/ctrlProps/ctrlProp41.xml><?xml version="1.0" encoding="utf-8"?>
<formControlPr xmlns="http://schemas.microsoft.com/office/spreadsheetml/2009/9/main" objectType="CheckBox" checked="Checked" fmlaLink="Utdata!$KM$2" lockText="1"/>
</file>

<file path=xl/ctrlProps/ctrlProp42.xml><?xml version="1.0" encoding="utf-8"?>
<formControlPr xmlns="http://schemas.microsoft.com/office/spreadsheetml/2009/9/main" objectType="CheckBox" checked="Checked" fmlaLink="Utdata!$KN$2" lockText="1"/>
</file>

<file path=xl/ctrlProps/ctrlProp43.xml><?xml version="1.0" encoding="utf-8"?>
<formControlPr xmlns="http://schemas.microsoft.com/office/spreadsheetml/2009/9/main" objectType="CheckBox" checked="Checked" fmlaLink="Utdata!$KO$2" lockText="1"/>
</file>

<file path=xl/ctrlProps/ctrlProp44.xml><?xml version="1.0" encoding="utf-8"?>
<formControlPr xmlns="http://schemas.microsoft.com/office/spreadsheetml/2009/9/main" objectType="CheckBox" fmlaLink="Utdata!$KP$2" lockText="1"/>
</file>

<file path=xl/ctrlProps/ctrlProp45.xml><?xml version="1.0" encoding="utf-8"?>
<formControlPr xmlns="http://schemas.microsoft.com/office/spreadsheetml/2009/9/main" objectType="CheckBox" fmlaLink="Utdata!$KQ$2" lockText="1"/>
</file>

<file path=xl/ctrlProps/ctrlProp46.xml><?xml version="1.0" encoding="utf-8"?>
<formControlPr xmlns="http://schemas.microsoft.com/office/spreadsheetml/2009/9/main" objectType="CheckBox" fmlaLink="Utdata!$KR$2" lockText="1"/>
</file>

<file path=xl/ctrlProps/ctrlProp47.xml><?xml version="1.0" encoding="utf-8"?>
<formControlPr xmlns="http://schemas.microsoft.com/office/spreadsheetml/2009/9/main" objectType="CheckBox" checked="Checked" fmlaLink="Utdata!$AI$2" lockText="1"/>
</file>

<file path=xl/ctrlProps/ctrlProp48.xml><?xml version="1.0" encoding="utf-8"?>
<formControlPr xmlns="http://schemas.microsoft.com/office/spreadsheetml/2009/9/main" objectType="CheckBox" fmlaLink="Utdata!$AJ$2" lockText="1"/>
</file>

<file path=xl/ctrlProps/ctrlProp49.xml><?xml version="1.0" encoding="utf-8"?>
<formControlPr xmlns="http://schemas.microsoft.com/office/spreadsheetml/2009/9/main" objectType="CheckBox" fmlaLink="Utdata!$AK$2" lockText="1"/>
</file>

<file path=xl/ctrlProps/ctrlProp5.xml><?xml version="1.0" encoding="utf-8"?>
<formControlPr xmlns="http://schemas.microsoft.com/office/spreadsheetml/2009/9/main" objectType="CheckBox" checked="Checked" fmlaLink="Utdata!$EO$2" lockText="1"/>
</file>

<file path=xl/ctrlProps/ctrlProp50.xml><?xml version="1.0" encoding="utf-8"?>
<formControlPr xmlns="http://schemas.microsoft.com/office/spreadsheetml/2009/9/main" objectType="CheckBox" fmlaLink="Utdata!$B$2" lockText="1"/>
</file>

<file path=xl/ctrlProps/ctrlProp51.xml><?xml version="1.0" encoding="utf-8"?>
<formControlPr xmlns="http://schemas.microsoft.com/office/spreadsheetml/2009/9/main" objectType="CheckBox" checked="Checked" fmlaLink="Utdata!$C$2" lockText="1"/>
</file>

<file path=xl/ctrlProps/ctrlProp52.xml><?xml version="1.0" encoding="utf-8"?>
<formControlPr xmlns="http://schemas.microsoft.com/office/spreadsheetml/2009/9/main" objectType="CheckBox" checked="Checked" fmlaLink="Utdata!$D$2" lockText="1"/>
</file>

<file path=xl/ctrlProps/ctrlProp53.xml><?xml version="1.0" encoding="utf-8"?>
<formControlPr xmlns="http://schemas.microsoft.com/office/spreadsheetml/2009/9/main" objectType="CheckBox" fmlaLink="Utdata!$E$2" lockText="1"/>
</file>

<file path=xl/ctrlProps/ctrlProp54.xml><?xml version="1.0" encoding="utf-8"?>
<formControlPr xmlns="http://schemas.microsoft.com/office/spreadsheetml/2009/9/main" objectType="CheckBox" fmlaLink="Utdata!$F$2" lockText="1"/>
</file>

<file path=xl/ctrlProps/ctrlProp55.xml><?xml version="1.0" encoding="utf-8"?>
<formControlPr xmlns="http://schemas.microsoft.com/office/spreadsheetml/2009/9/main" objectType="CheckBox" checked="Checked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fmlaLink="Utdata!$JQ$2" lockText="1" noThreeD="1"/>
</file>

<file path=xl/ctrlProps/ctrlProp58.xml><?xml version="1.0" encoding="utf-8"?>
<formControlPr xmlns="http://schemas.microsoft.com/office/spreadsheetml/2009/9/main" objectType="Drop" dropLines="5" dropStyle="combo" dx="22" fmlaRange="Faktorer!$B$3:$B$7" noThreeD="1" sel="2" val="0"/>
</file>

<file path=xl/ctrlProps/ctrlProp59.xml><?xml version="1.0" encoding="utf-8"?>
<formControlPr xmlns="http://schemas.microsoft.com/office/spreadsheetml/2009/9/main" objectType="Drop" dropLines="5" dropStyle="combo" dx="22" fmlaRange="Faktorer!$B$3:$B$7" noThreeD="1" sel="2" val="0"/>
</file>

<file path=xl/ctrlProps/ctrlProp6.xml><?xml version="1.0" encoding="utf-8"?>
<formControlPr xmlns="http://schemas.microsoft.com/office/spreadsheetml/2009/9/main" objectType="CheckBox" fmlaLink="Utdata!$EP$2" lockText="1"/>
</file>

<file path=xl/ctrlProps/ctrlProp60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1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2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3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4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5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6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67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8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9.xml><?xml version="1.0" encoding="utf-8"?>
<formControlPr xmlns="http://schemas.microsoft.com/office/spreadsheetml/2009/9/main" objectType="Drop" dropLines="5" dropStyle="combo" dx="22" fmlaRange="Faktorer!$B$3:$B$7" noThreeD="1" sel="1" val="0"/>
</file>

<file path=xl/ctrlProps/ctrlProp7.xml><?xml version="1.0" encoding="utf-8"?>
<formControlPr xmlns="http://schemas.microsoft.com/office/spreadsheetml/2009/9/main" objectType="CheckBox" fmlaLink="Utdata!$EQ$2" lockText="1"/>
</file>

<file path=xl/ctrlProps/ctrlProp70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1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2.xml><?xml version="1.0" encoding="utf-8"?>
<formControlPr xmlns="http://schemas.microsoft.com/office/spreadsheetml/2009/9/main" objectType="CheckBox" fmlaLink="$T$3" lockText="1"/>
</file>

<file path=xl/ctrlProps/ctrlProp73.xml><?xml version="1.0" encoding="utf-8"?>
<formControlPr xmlns="http://schemas.microsoft.com/office/spreadsheetml/2009/9/main" objectType="CheckBox" fmlaLink="$T$4" lockText="1"/>
</file>

<file path=xl/ctrlProps/ctrlProp74.xml><?xml version="1.0" encoding="utf-8"?>
<formControlPr xmlns="http://schemas.microsoft.com/office/spreadsheetml/2009/9/main" objectType="CheckBox" fmlaLink="$T$5" lockText="1"/>
</file>

<file path=xl/ctrlProps/ctrlProp75.xml><?xml version="1.0" encoding="utf-8"?>
<formControlPr xmlns="http://schemas.microsoft.com/office/spreadsheetml/2009/9/main" objectType="CheckBox" fmlaLink="$T$6" lockText="1"/>
</file>

<file path=xl/ctrlProps/ctrlProp76.xml><?xml version="1.0" encoding="utf-8"?>
<formControlPr xmlns="http://schemas.microsoft.com/office/spreadsheetml/2009/9/main" objectType="CheckBox" fmlaLink="$T$7" lockText="1"/>
</file>

<file path=xl/ctrlProps/ctrlProp77.xml><?xml version="1.0" encoding="utf-8"?>
<formControlPr xmlns="http://schemas.microsoft.com/office/spreadsheetml/2009/9/main" objectType="CheckBox" fmlaLink="$T$8" lockText="1"/>
</file>

<file path=xl/ctrlProps/ctrlProp78.xml><?xml version="1.0" encoding="utf-8"?>
<formControlPr xmlns="http://schemas.microsoft.com/office/spreadsheetml/2009/9/main" objectType="CheckBox" fmlaLink="$T$9" lockText="1"/>
</file>

<file path=xl/ctrlProps/ctrlProp79.xml><?xml version="1.0" encoding="utf-8"?>
<formControlPr xmlns="http://schemas.microsoft.com/office/spreadsheetml/2009/9/main" objectType="CheckBox" fmlaLink="$T$9" lockText="1"/>
</file>

<file path=xl/ctrlProps/ctrlProp8.xml><?xml version="1.0" encoding="utf-8"?>
<formControlPr xmlns="http://schemas.microsoft.com/office/spreadsheetml/2009/9/main" objectType="CheckBox" checked="Checked" fmlaLink="Utdata!$EU$2" lockText="1"/>
</file>

<file path=xl/ctrlProps/ctrlProp80.xml><?xml version="1.0" encoding="utf-8"?>
<formControlPr xmlns="http://schemas.microsoft.com/office/spreadsheetml/2009/9/main" objectType="CheckBox" fmlaLink="$T$9" lockText="1"/>
</file>

<file path=xl/ctrlProps/ctrlProp81.xml><?xml version="1.0" encoding="utf-8"?>
<formControlPr xmlns="http://schemas.microsoft.com/office/spreadsheetml/2009/9/main" objectType="CheckBox" fmlaLink="$T$10" lockText="1"/>
</file>

<file path=xl/ctrlProps/ctrlProp82.xml><?xml version="1.0" encoding="utf-8"?>
<formControlPr xmlns="http://schemas.microsoft.com/office/spreadsheetml/2009/9/main" objectType="CheckBox" fmlaLink="$T$9" lockText="1"/>
</file>

<file path=xl/ctrlProps/ctrlProp83.xml><?xml version="1.0" encoding="utf-8"?>
<formControlPr xmlns="http://schemas.microsoft.com/office/spreadsheetml/2009/9/main" objectType="CheckBox" fmlaLink="$T$8" lockText="1"/>
</file>

<file path=xl/ctrlProps/ctrlProp84.xml><?xml version="1.0" encoding="utf-8"?>
<formControlPr xmlns="http://schemas.microsoft.com/office/spreadsheetml/2009/9/main" objectType="CheckBox" fmlaLink="$T$11" lockText="1"/>
</file>

<file path=xl/ctrlProps/ctrlProp85.xml><?xml version="1.0" encoding="utf-8"?>
<formControlPr xmlns="http://schemas.microsoft.com/office/spreadsheetml/2009/9/main" objectType="CheckBox" fmlaLink="$T$9" lockText="1"/>
</file>

<file path=xl/ctrlProps/ctrlProp86.xml><?xml version="1.0" encoding="utf-8"?>
<formControlPr xmlns="http://schemas.microsoft.com/office/spreadsheetml/2009/9/main" objectType="CheckBox" fmlaLink="$T$12" lockText="1"/>
</file>

<file path=xl/ctrlProps/ctrlProp87.xml><?xml version="1.0" encoding="utf-8"?>
<formControlPr xmlns="http://schemas.microsoft.com/office/spreadsheetml/2009/9/main" objectType="CheckBox" fmlaLink="$T$27" lockText="1"/>
</file>

<file path=xl/ctrlProps/ctrlProp88.xml><?xml version="1.0" encoding="utf-8"?>
<formControlPr xmlns="http://schemas.microsoft.com/office/spreadsheetml/2009/9/main" objectType="CheckBox" fmlaLink="$T$28" lockText="1"/>
</file>

<file path=xl/ctrlProps/ctrlProp89.xml><?xml version="1.0" encoding="utf-8"?>
<formControlPr xmlns="http://schemas.microsoft.com/office/spreadsheetml/2009/9/main" objectType="CheckBox" fmlaLink="$T$29" lockText="1"/>
</file>

<file path=xl/ctrlProps/ctrlProp9.xml><?xml version="1.0" encoding="utf-8"?>
<formControlPr xmlns="http://schemas.microsoft.com/office/spreadsheetml/2009/9/main" objectType="CheckBox" fmlaLink="Utdata!$EV$2" lockText="1"/>
</file>

<file path=xl/ctrlProps/ctrlProp90.xml><?xml version="1.0" encoding="utf-8"?>
<formControlPr xmlns="http://schemas.microsoft.com/office/spreadsheetml/2009/9/main" objectType="CheckBox" fmlaLink="$T$30" lockText="1"/>
</file>

<file path=xl/ctrlProps/ctrlProp91.xml><?xml version="1.0" encoding="utf-8"?>
<formControlPr xmlns="http://schemas.microsoft.com/office/spreadsheetml/2009/9/main" objectType="CheckBox" fmlaLink="$T$31" lockText="1"/>
</file>

<file path=xl/ctrlProps/ctrlProp92.xml><?xml version="1.0" encoding="utf-8"?>
<formControlPr xmlns="http://schemas.microsoft.com/office/spreadsheetml/2009/9/main" objectType="CheckBox" fmlaLink="$T$32" lockText="1"/>
</file>

<file path=xl/ctrlProps/ctrlProp93.xml><?xml version="1.0" encoding="utf-8"?>
<formControlPr xmlns="http://schemas.microsoft.com/office/spreadsheetml/2009/9/main" objectType="CheckBox" fmlaLink="$T$9" lockText="1"/>
</file>

<file path=xl/ctrlProps/ctrlProp94.xml><?xml version="1.0" encoding="utf-8"?>
<formControlPr xmlns="http://schemas.microsoft.com/office/spreadsheetml/2009/9/main" objectType="CheckBox" fmlaLink="$T$33" lockText="1"/>
</file>

<file path=xl/ctrlProps/ctrlProp95.xml><?xml version="1.0" encoding="utf-8"?>
<formControlPr xmlns="http://schemas.microsoft.com/office/spreadsheetml/2009/9/main" objectType="CheckBox" fmlaLink="$T$9" lockText="1"/>
</file>

<file path=xl/ctrlProps/ctrlProp96.xml><?xml version="1.0" encoding="utf-8"?>
<formControlPr xmlns="http://schemas.microsoft.com/office/spreadsheetml/2009/9/main" objectType="CheckBox" fmlaLink="$T$34" lockText="1"/>
</file>

<file path=xl/ctrlProps/ctrlProp97.xml><?xml version="1.0" encoding="utf-8"?>
<formControlPr xmlns="http://schemas.microsoft.com/office/spreadsheetml/2009/9/main" objectType="CheckBox" fmlaLink="$T$9" lockText="1"/>
</file>

<file path=xl/ctrlProps/ctrlProp98.xml><?xml version="1.0" encoding="utf-8"?>
<formControlPr xmlns="http://schemas.microsoft.com/office/spreadsheetml/2009/9/main" objectType="CheckBox" fmlaLink="$T$8" lockText="1"/>
</file>

<file path=xl/ctrlProps/ctrlProp99.xml><?xml version="1.0" encoding="utf-8"?>
<formControlPr xmlns="http://schemas.microsoft.com/office/spreadsheetml/2009/9/main" objectType="CheckBox" fmlaLink="$T$3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43575" cy="82486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43575" cy="82486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600075</xdr:colOff>
          <xdr:row>3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D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3</xdr:col>
          <xdr:colOff>600075</xdr:colOff>
          <xdr:row>4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D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9525</xdr:rowOff>
        </xdr:from>
        <xdr:to>
          <xdr:col>3</xdr:col>
          <xdr:colOff>600075</xdr:colOff>
          <xdr:row>5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D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3</xdr:col>
          <xdr:colOff>600075</xdr:colOff>
          <xdr:row>6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D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600075</xdr:colOff>
          <xdr:row>7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D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600075</xdr:colOff>
          <xdr:row>8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D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D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D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D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D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D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D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D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D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D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9525</xdr:rowOff>
        </xdr:from>
        <xdr:to>
          <xdr:col>3</xdr:col>
          <xdr:colOff>600075</xdr:colOff>
          <xdr:row>27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D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3</xdr:col>
          <xdr:colOff>600075</xdr:colOff>
          <xdr:row>28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D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3</xdr:col>
          <xdr:colOff>600075</xdr:colOff>
          <xdr:row>29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D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9525</xdr:rowOff>
        </xdr:from>
        <xdr:to>
          <xdr:col>3</xdr:col>
          <xdr:colOff>600075</xdr:colOff>
          <xdr:row>30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D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9525</xdr:rowOff>
        </xdr:from>
        <xdr:to>
          <xdr:col>3</xdr:col>
          <xdr:colOff>600075</xdr:colOff>
          <xdr:row>31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D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9525</xdr:rowOff>
        </xdr:from>
        <xdr:to>
          <xdr:col>3</xdr:col>
          <xdr:colOff>600075</xdr:colOff>
          <xdr:row>32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D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D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D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D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D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D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D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D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D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D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3</xdr:col>
          <xdr:colOff>600075</xdr:colOff>
          <xdr:row>51</xdr:row>
          <xdr:rowOff>38100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D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3</xdr:col>
          <xdr:colOff>600075</xdr:colOff>
          <xdr:row>52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D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3</xdr:col>
          <xdr:colOff>600075</xdr:colOff>
          <xdr:row>53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D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9525</xdr:rowOff>
        </xdr:from>
        <xdr:to>
          <xdr:col>3</xdr:col>
          <xdr:colOff>600075</xdr:colOff>
          <xdr:row>54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D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9525</xdr:rowOff>
        </xdr:from>
        <xdr:to>
          <xdr:col>3</xdr:col>
          <xdr:colOff>600075</xdr:colOff>
          <xdr:row>55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D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9525</xdr:rowOff>
        </xdr:from>
        <xdr:to>
          <xdr:col>3</xdr:col>
          <xdr:colOff>600075</xdr:colOff>
          <xdr:row>56</xdr:row>
          <xdr:rowOff>38100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D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D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D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D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D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D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D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D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D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D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9525</xdr:rowOff>
        </xdr:from>
        <xdr:to>
          <xdr:col>3</xdr:col>
          <xdr:colOff>600075</xdr:colOff>
          <xdr:row>75</xdr:row>
          <xdr:rowOff>38100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D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9525</xdr:rowOff>
        </xdr:from>
        <xdr:to>
          <xdr:col>3</xdr:col>
          <xdr:colOff>600075</xdr:colOff>
          <xdr:row>76</xdr:row>
          <xdr:rowOff>38100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D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3</xdr:col>
          <xdr:colOff>600075</xdr:colOff>
          <xdr:row>77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D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9525</xdr:rowOff>
        </xdr:from>
        <xdr:to>
          <xdr:col>3</xdr:col>
          <xdr:colOff>600075</xdr:colOff>
          <xdr:row>78</xdr:row>
          <xdr:rowOff>38100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D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78</xdr:row>
          <xdr:rowOff>9525</xdr:rowOff>
        </xdr:from>
        <xdr:to>
          <xdr:col>3</xdr:col>
          <xdr:colOff>600075</xdr:colOff>
          <xdr:row>79</xdr:row>
          <xdr:rowOff>38100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D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9525</xdr:rowOff>
        </xdr:from>
        <xdr:to>
          <xdr:col>3</xdr:col>
          <xdr:colOff>600075</xdr:colOff>
          <xdr:row>80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D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D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D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D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D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D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D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D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D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D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98</xdr:row>
          <xdr:rowOff>9525</xdr:rowOff>
        </xdr:from>
        <xdr:to>
          <xdr:col>3</xdr:col>
          <xdr:colOff>600075</xdr:colOff>
          <xdr:row>99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D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99</xdr:row>
          <xdr:rowOff>9525</xdr:rowOff>
        </xdr:from>
        <xdr:to>
          <xdr:col>3</xdr:col>
          <xdr:colOff>600075</xdr:colOff>
          <xdr:row>100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D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100</xdr:row>
          <xdr:rowOff>9525</xdr:rowOff>
        </xdr:from>
        <xdr:to>
          <xdr:col>3</xdr:col>
          <xdr:colOff>600075</xdr:colOff>
          <xdr:row>101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D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101</xdr:row>
          <xdr:rowOff>9525</xdr:rowOff>
        </xdr:from>
        <xdr:to>
          <xdr:col>3</xdr:col>
          <xdr:colOff>600075</xdr:colOff>
          <xdr:row>102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D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102</xdr:row>
          <xdr:rowOff>9525</xdr:rowOff>
        </xdr:from>
        <xdr:to>
          <xdr:col>3</xdr:col>
          <xdr:colOff>600075</xdr:colOff>
          <xdr:row>103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D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9525</xdr:rowOff>
        </xdr:from>
        <xdr:to>
          <xdr:col>3</xdr:col>
          <xdr:colOff>600075</xdr:colOff>
          <xdr:row>104</xdr:row>
          <xdr:rowOff>38100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D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D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D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D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D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D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D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D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D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D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122</xdr:row>
          <xdr:rowOff>9525</xdr:rowOff>
        </xdr:from>
        <xdr:to>
          <xdr:col>3</xdr:col>
          <xdr:colOff>600075</xdr:colOff>
          <xdr:row>123</xdr:row>
          <xdr:rowOff>38100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D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123</xdr:row>
          <xdr:rowOff>9525</xdr:rowOff>
        </xdr:from>
        <xdr:to>
          <xdr:col>3</xdr:col>
          <xdr:colOff>600075</xdr:colOff>
          <xdr:row>124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D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124</xdr:row>
          <xdr:rowOff>9525</xdr:rowOff>
        </xdr:from>
        <xdr:to>
          <xdr:col>3</xdr:col>
          <xdr:colOff>600075</xdr:colOff>
          <xdr:row>125</xdr:row>
          <xdr:rowOff>38100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D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125</xdr:row>
          <xdr:rowOff>9525</xdr:rowOff>
        </xdr:from>
        <xdr:to>
          <xdr:col>3</xdr:col>
          <xdr:colOff>600075</xdr:colOff>
          <xdr:row>126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D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126</xdr:row>
          <xdr:rowOff>9525</xdr:rowOff>
        </xdr:from>
        <xdr:to>
          <xdr:col>3</xdr:col>
          <xdr:colOff>600075</xdr:colOff>
          <xdr:row>127</xdr:row>
          <xdr:rowOff>38100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D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127</xdr:row>
          <xdr:rowOff>9525</xdr:rowOff>
        </xdr:from>
        <xdr:to>
          <xdr:col>3</xdr:col>
          <xdr:colOff>600075</xdr:colOff>
          <xdr:row>128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D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D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D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D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D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D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D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D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D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D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D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D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D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D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D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D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D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D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D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D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346</xdr:row>
      <xdr:rowOff>0</xdr:rowOff>
    </xdr:from>
    <xdr:to>
      <xdr:col>2</xdr:col>
      <xdr:colOff>9525</xdr:colOff>
      <xdr:row>346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V="1">
          <a:off x="2276475" y="54597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346</xdr:row>
      <xdr:rowOff>0</xdr:rowOff>
    </xdr:from>
    <xdr:to>
      <xdr:col>3</xdr:col>
      <xdr:colOff>0</xdr:colOff>
      <xdr:row>346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3267075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346</xdr:row>
      <xdr:rowOff>0</xdr:rowOff>
    </xdr:from>
    <xdr:to>
      <xdr:col>4</xdr:col>
      <xdr:colOff>0</xdr:colOff>
      <xdr:row>346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4248150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329</xdr:row>
          <xdr:rowOff>0</xdr:rowOff>
        </xdr:from>
        <xdr:to>
          <xdr:col>7</xdr:col>
          <xdr:colOff>57150</xdr:colOff>
          <xdr:row>329</xdr:row>
          <xdr:rowOff>263769</xdr:rowOff>
        </xdr:to>
        <xdr:sp macro="" textlink="">
          <xdr:nvSpPr>
            <xdr:cNvPr id="1029" name="Check Box 5" descr="Beslutad av &#10;Länsstyrelse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Beräkningsmodell Älgfrode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196</xdr:row>
          <xdr:rowOff>9525</xdr:rowOff>
        </xdr:from>
        <xdr:to>
          <xdr:col>2</xdr:col>
          <xdr:colOff>19050</xdr:colOff>
          <xdr:row>196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196</xdr:row>
          <xdr:rowOff>9525</xdr:rowOff>
        </xdr:from>
        <xdr:to>
          <xdr:col>2</xdr:col>
          <xdr:colOff>923925</xdr:colOff>
          <xdr:row>196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196</xdr:row>
          <xdr:rowOff>9525</xdr:rowOff>
        </xdr:from>
        <xdr:to>
          <xdr:col>4</xdr:col>
          <xdr:colOff>19050</xdr:colOff>
          <xdr:row>196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197</xdr:row>
          <xdr:rowOff>9525</xdr:rowOff>
        </xdr:from>
        <xdr:to>
          <xdr:col>2</xdr:col>
          <xdr:colOff>19050</xdr:colOff>
          <xdr:row>197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197</xdr:row>
          <xdr:rowOff>9525</xdr:rowOff>
        </xdr:from>
        <xdr:to>
          <xdr:col>2</xdr:col>
          <xdr:colOff>923925</xdr:colOff>
          <xdr:row>197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197</xdr:row>
          <xdr:rowOff>9525</xdr:rowOff>
        </xdr:from>
        <xdr:to>
          <xdr:col>4</xdr:col>
          <xdr:colOff>19050</xdr:colOff>
          <xdr:row>197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198</xdr:row>
          <xdr:rowOff>9525</xdr:rowOff>
        </xdr:from>
        <xdr:to>
          <xdr:col>2</xdr:col>
          <xdr:colOff>19050</xdr:colOff>
          <xdr:row>198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198</xdr:row>
          <xdr:rowOff>9525</xdr:rowOff>
        </xdr:from>
        <xdr:to>
          <xdr:col>2</xdr:col>
          <xdr:colOff>923925</xdr:colOff>
          <xdr:row>198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198</xdr:row>
          <xdr:rowOff>9525</xdr:rowOff>
        </xdr:from>
        <xdr:to>
          <xdr:col>4</xdr:col>
          <xdr:colOff>19050</xdr:colOff>
          <xdr:row>198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199</xdr:row>
          <xdr:rowOff>9525</xdr:rowOff>
        </xdr:from>
        <xdr:to>
          <xdr:col>2</xdr:col>
          <xdr:colOff>19050</xdr:colOff>
          <xdr:row>199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199</xdr:row>
          <xdr:rowOff>9525</xdr:rowOff>
        </xdr:from>
        <xdr:to>
          <xdr:col>2</xdr:col>
          <xdr:colOff>923925</xdr:colOff>
          <xdr:row>199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199</xdr:row>
          <xdr:rowOff>9525</xdr:rowOff>
        </xdr:from>
        <xdr:to>
          <xdr:col>4</xdr:col>
          <xdr:colOff>19050</xdr:colOff>
          <xdr:row>199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178</xdr:row>
          <xdr:rowOff>9525</xdr:rowOff>
        </xdr:from>
        <xdr:to>
          <xdr:col>2</xdr:col>
          <xdr:colOff>9525</xdr:colOff>
          <xdr:row>178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178</xdr:row>
          <xdr:rowOff>9525</xdr:rowOff>
        </xdr:from>
        <xdr:to>
          <xdr:col>2</xdr:col>
          <xdr:colOff>923925</xdr:colOff>
          <xdr:row>178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178</xdr:row>
          <xdr:rowOff>9525</xdr:rowOff>
        </xdr:from>
        <xdr:to>
          <xdr:col>4</xdr:col>
          <xdr:colOff>9525</xdr:colOff>
          <xdr:row>178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236</xdr:row>
          <xdr:rowOff>9525</xdr:rowOff>
        </xdr:from>
        <xdr:to>
          <xdr:col>1</xdr:col>
          <xdr:colOff>915865</xdr:colOff>
          <xdr:row>236</xdr:row>
          <xdr:rowOff>257175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236</xdr:row>
          <xdr:rowOff>9525</xdr:rowOff>
        </xdr:from>
        <xdr:to>
          <xdr:col>2</xdr:col>
          <xdr:colOff>914400</xdr:colOff>
          <xdr:row>236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236</xdr:row>
          <xdr:rowOff>9525</xdr:rowOff>
        </xdr:from>
        <xdr:to>
          <xdr:col>4</xdr:col>
          <xdr:colOff>0</xdr:colOff>
          <xdr:row>236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249</xdr:row>
          <xdr:rowOff>9525</xdr:rowOff>
        </xdr:from>
        <xdr:to>
          <xdr:col>1</xdr:col>
          <xdr:colOff>915865</xdr:colOff>
          <xdr:row>249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249</xdr:row>
          <xdr:rowOff>9525</xdr:rowOff>
        </xdr:from>
        <xdr:to>
          <xdr:col>2</xdr:col>
          <xdr:colOff>914400</xdr:colOff>
          <xdr:row>249</xdr:row>
          <xdr:rowOff>257175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250</xdr:row>
          <xdr:rowOff>9525</xdr:rowOff>
        </xdr:from>
        <xdr:to>
          <xdr:col>1</xdr:col>
          <xdr:colOff>915865</xdr:colOff>
          <xdr:row>250</xdr:row>
          <xdr:rowOff>257175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250</xdr:row>
          <xdr:rowOff>9525</xdr:rowOff>
        </xdr:from>
        <xdr:to>
          <xdr:col>2</xdr:col>
          <xdr:colOff>914400</xdr:colOff>
          <xdr:row>250</xdr:row>
          <xdr:rowOff>257175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262</xdr:row>
          <xdr:rowOff>9525</xdr:rowOff>
        </xdr:from>
        <xdr:to>
          <xdr:col>2</xdr:col>
          <xdr:colOff>914400</xdr:colOff>
          <xdr:row>262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262</xdr:row>
          <xdr:rowOff>9525</xdr:rowOff>
        </xdr:from>
        <xdr:to>
          <xdr:col>1</xdr:col>
          <xdr:colOff>915865</xdr:colOff>
          <xdr:row>262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344</xdr:row>
          <xdr:rowOff>9525</xdr:rowOff>
        </xdr:from>
        <xdr:to>
          <xdr:col>2</xdr:col>
          <xdr:colOff>914400</xdr:colOff>
          <xdr:row>344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344</xdr:row>
          <xdr:rowOff>9525</xdr:rowOff>
        </xdr:from>
        <xdr:to>
          <xdr:col>1</xdr:col>
          <xdr:colOff>915865</xdr:colOff>
          <xdr:row>344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344</xdr:row>
          <xdr:rowOff>9525</xdr:rowOff>
        </xdr:from>
        <xdr:to>
          <xdr:col>4</xdr:col>
          <xdr:colOff>0</xdr:colOff>
          <xdr:row>344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345</xdr:row>
          <xdr:rowOff>9525</xdr:rowOff>
        </xdr:from>
        <xdr:to>
          <xdr:col>1</xdr:col>
          <xdr:colOff>915865</xdr:colOff>
          <xdr:row>345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345</xdr:row>
          <xdr:rowOff>9525</xdr:rowOff>
        </xdr:from>
        <xdr:to>
          <xdr:col>2</xdr:col>
          <xdr:colOff>914400</xdr:colOff>
          <xdr:row>345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345</xdr:row>
          <xdr:rowOff>9525</xdr:rowOff>
        </xdr:from>
        <xdr:to>
          <xdr:col>4</xdr:col>
          <xdr:colOff>0</xdr:colOff>
          <xdr:row>345</xdr:row>
          <xdr:rowOff>257175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3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346</xdr:row>
          <xdr:rowOff>9525</xdr:rowOff>
        </xdr:from>
        <xdr:to>
          <xdr:col>1</xdr:col>
          <xdr:colOff>915865</xdr:colOff>
          <xdr:row>346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3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346</xdr:row>
          <xdr:rowOff>9525</xdr:rowOff>
        </xdr:from>
        <xdr:to>
          <xdr:col>2</xdr:col>
          <xdr:colOff>914400</xdr:colOff>
          <xdr:row>346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3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346</xdr:row>
          <xdr:rowOff>9525</xdr:rowOff>
        </xdr:from>
        <xdr:to>
          <xdr:col>4</xdr:col>
          <xdr:colOff>0</xdr:colOff>
          <xdr:row>346</xdr:row>
          <xdr:rowOff>257175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347</xdr:row>
          <xdr:rowOff>9525</xdr:rowOff>
        </xdr:from>
        <xdr:to>
          <xdr:col>1</xdr:col>
          <xdr:colOff>915865</xdr:colOff>
          <xdr:row>347</xdr:row>
          <xdr:rowOff>257175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3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347</xdr:row>
          <xdr:rowOff>9525</xdr:rowOff>
        </xdr:from>
        <xdr:to>
          <xdr:col>2</xdr:col>
          <xdr:colOff>914400</xdr:colOff>
          <xdr:row>347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347</xdr:row>
          <xdr:rowOff>9525</xdr:rowOff>
        </xdr:from>
        <xdr:to>
          <xdr:col>4</xdr:col>
          <xdr:colOff>0</xdr:colOff>
          <xdr:row>347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348</xdr:row>
          <xdr:rowOff>9525</xdr:rowOff>
        </xdr:from>
        <xdr:to>
          <xdr:col>1</xdr:col>
          <xdr:colOff>915865</xdr:colOff>
          <xdr:row>348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348</xdr:row>
          <xdr:rowOff>9525</xdr:rowOff>
        </xdr:from>
        <xdr:to>
          <xdr:col>2</xdr:col>
          <xdr:colOff>914400</xdr:colOff>
          <xdr:row>348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348</xdr:row>
          <xdr:rowOff>9525</xdr:rowOff>
        </xdr:from>
        <xdr:to>
          <xdr:col>4</xdr:col>
          <xdr:colOff>0</xdr:colOff>
          <xdr:row>348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349</xdr:row>
          <xdr:rowOff>9525</xdr:rowOff>
        </xdr:from>
        <xdr:to>
          <xdr:col>1</xdr:col>
          <xdr:colOff>915865</xdr:colOff>
          <xdr:row>349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349</xdr:row>
          <xdr:rowOff>9525</xdr:rowOff>
        </xdr:from>
        <xdr:to>
          <xdr:col>2</xdr:col>
          <xdr:colOff>914400</xdr:colOff>
          <xdr:row>349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349</xdr:row>
          <xdr:rowOff>9525</xdr:rowOff>
        </xdr:from>
        <xdr:to>
          <xdr:col>4</xdr:col>
          <xdr:colOff>0</xdr:colOff>
          <xdr:row>349</xdr:row>
          <xdr:rowOff>257175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350</xdr:row>
          <xdr:rowOff>9525</xdr:rowOff>
        </xdr:from>
        <xdr:to>
          <xdr:col>1</xdr:col>
          <xdr:colOff>915865</xdr:colOff>
          <xdr:row>350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350</xdr:row>
          <xdr:rowOff>9525</xdr:rowOff>
        </xdr:from>
        <xdr:to>
          <xdr:col>2</xdr:col>
          <xdr:colOff>914400</xdr:colOff>
          <xdr:row>350</xdr:row>
          <xdr:rowOff>257175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3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350</xdr:row>
          <xdr:rowOff>9525</xdr:rowOff>
        </xdr:from>
        <xdr:to>
          <xdr:col>4</xdr:col>
          <xdr:colOff>0</xdr:colOff>
          <xdr:row>350</xdr:row>
          <xdr:rowOff>257175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9525</xdr:rowOff>
        </xdr:from>
        <xdr:to>
          <xdr:col>2</xdr:col>
          <xdr:colOff>9525</xdr:colOff>
          <xdr:row>48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923925</xdr:colOff>
          <xdr:row>48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9525</xdr:rowOff>
        </xdr:from>
        <xdr:to>
          <xdr:col>4</xdr:col>
          <xdr:colOff>9525</xdr:colOff>
          <xdr:row>48</xdr:row>
          <xdr:rowOff>257175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38100</xdr:rowOff>
        </xdr:from>
        <xdr:to>
          <xdr:col>4</xdr:col>
          <xdr:colOff>915865</xdr:colOff>
          <xdr:row>2</xdr:row>
          <xdr:rowOff>266700</xdr:rowOff>
        </xdr:to>
        <xdr:sp macro="" textlink="">
          <xdr:nvSpPr>
            <xdr:cNvPr id="1250" name="Check Box 226" descr="Beslutad av &#10;Länsstyrelsen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3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Älgskötselplan (nytt älgskötselområde/ny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276225</xdr:rowOff>
        </xdr:from>
        <xdr:to>
          <xdr:col>4</xdr:col>
          <xdr:colOff>915865</xdr:colOff>
          <xdr:row>2</xdr:row>
          <xdr:rowOff>523875</xdr:rowOff>
        </xdr:to>
        <xdr:sp macro="" textlink="">
          <xdr:nvSpPr>
            <xdr:cNvPr id="1251" name="Check Box 227" descr="Beslutad av &#10;Länsstyrelsen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3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älgskötselplan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552450</xdr:rowOff>
        </xdr:from>
        <xdr:to>
          <xdr:col>4</xdr:col>
          <xdr:colOff>915865</xdr:colOff>
          <xdr:row>2</xdr:row>
          <xdr:rowOff>809625</xdr:rowOff>
        </xdr:to>
        <xdr:sp macro="" textlink="">
          <xdr:nvSpPr>
            <xdr:cNvPr id="1252" name="Check Box 228" descr="Beslutad av &#10;Länsstyrelsen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3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avskjutningsplan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38100</xdr:rowOff>
        </xdr:from>
        <xdr:to>
          <xdr:col>4</xdr:col>
          <xdr:colOff>915865</xdr:colOff>
          <xdr:row>4</xdr:row>
          <xdr:rowOff>0</xdr:rowOff>
        </xdr:to>
        <xdr:sp macro="" textlink="">
          <xdr:nvSpPr>
            <xdr:cNvPr id="1259" name="Check Box 235" descr="Beslutad av &#10;Länsstyrelsen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3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Nytt ärende (planen har inte lämnats tidigare)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0</xdr:rowOff>
        </xdr:from>
        <xdr:to>
          <xdr:col>3</xdr:col>
          <xdr:colOff>657225</xdr:colOff>
          <xdr:row>5</xdr:row>
          <xdr:rowOff>19050</xdr:rowOff>
        </xdr:to>
        <xdr:sp macro="" textlink="">
          <xdr:nvSpPr>
            <xdr:cNvPr id="1260" name="Check Box 236" descr="Beslutad av &#10;Länsstyrelsen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3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Till befintligt ärende. Diarie nr: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5</xdr:col>
          <xdr:colOff>19050</xdr:colOff>
          <xdr:row>11</xdr:row>
          <xdr:rowOff>247650</xdr:rowOff>
        </xdr:to>
        <xdr:sp macro="" textlink="">
          <xdr:nvSpPr>
            <xdr:cNvPr id="1274" name="Check Box 250" descr="Beslutad av &#10;Länsstyrelsen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3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Beslutad av Länsstyrelsen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295275</xdr:rowOff>
        </xdr:from>
        <xdr:to>
          <xdr:col>5</xdr:col>
          <xdr:colOff>19050</xdr:colOff>
          <xdr:row>11</xdr:row>
          <xdr:rowOff>533400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3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Ansökt areal (nytt/ändrat område)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330</xdr:row>
          <xdr:rowOff>66675</xdr:rowOff>
        </xdr:from>
        <xdr:to>
          <xdr:col>7</xdr:col>
          <xdr:colOff>609600</xdr:colOff>
          <xdr:row>331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3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Annan beräkning/förslag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310</xdr:row>
          <xdr:rowOff>0</xdr:rowOff>
        </xdr:from>
        <xdr:to>
          <xdr:col>4</xdr:col>
          <xdr:colOff>904875</xdr:colOff>
          <xdr:row>311</xdr:row>
          <xdr:rowOff>0</xdr:rowOff>
        </xdr:to>
        <xdr:sp macro="" textlink="">
          <xdr:nvSpPr>
            <xdr:cNvPr id="1301" name="Nedrullningsbar listruta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3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311</xdr:row>
          <xdr:rowOff>0</xdr:rowOff>
        </xdr:from>
        <xdr:to>
          <xdr:col>4</xdr:col>
          <xdr:colOff>904875</xdr:colOff>
          <xdr:row>312</xdr:row>
          <xdr:rowOff>0</xdr:rowOff>
        </xdr:to>
        <xdr:sp macro="" textlink="">
          <xdr:nvSpPr>
            <xdr:cNvPr id="1302" name="Nedrullningsbar listruta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3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312</xdr:row>
          <xdr:rowOff>0</xdr:rowOff>
        </xdr:from>
        <xdr:to>
          <xdr:col>4</xdr:col>
          <xdr:colOff>904875</xdr:colOff>
          <xdr:row>313</xdr:row>
          <xdr:rowOff>0</xdr:rowOff>
        </xdr:to>
        <xdr:sp macro="" textlink="">
          <xdr:nvSpPr>
            <xdr:cNvPr id="1303" name="Nedrullningsbar listruta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3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313</xdr:row>
          <xdr:rowOff>0</xdr:rowOff>
        </xdr:from>
        <xdr:to>
          <xdr:col>4</xdr:col>
          <xdr:colOff>904875</xdr:colOff>
          <xdr:row>314</xdr:row>
          <xdr:rowOff>0</xdr:rowOff>
        </xdr:to>
        <xdr:sp macro="" textlink="">
          <xdr:nvSpPr>
            <xdr:cNvPr id="1304" name="Nedrullningsbar listruta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3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314</xdr:row>
          <xdr:rowOff>0</xdr:rowOff>
        </xdr:from>
        <xdr:to>
          <xdr:col>4</xdr:col>
          <xdr:colOff>904875</xdr:colOff>
          <xdr:row>315</xdr:row>
          <xdr:rowOff>0</xdr:rowOff>
        </xdr:to>
        <xdr:sp macro="" textlink="">
          <xdr:nvSpPr>
            <xdr:cNvPr id="1305" name="Nedrullningsbar listruta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3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315</xdr:row>
          <xdr:rowOff>0</xdr:rowOff>
        </xdr:from>
        <xdr:to>
          <xdr:col>4</xdr:col>
          <xdr:colOff>904875</xdr:colOff>
          <xdr:row>316</xdr:row>
          <xdr:rowOff>0</xdr:rowOff>
        </xdr:to>
        <xdr:sp macro="" textlink="">
          <xdr:nvSpPr>
            <xdr:cNvPr id="1306" name="Nedrullningsbar listruta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3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316</xdr:row>
          <xdr:rowOff>0</xdr:rowOff>
        </xdr:from>
        <xdr:to>
          <xdr:col>4</xdr:col>
          <xdr:colOff>904875</xdr:colOff>
          <xdr:row>316</xdr:row>
          <xdr:rowOff>263769</xdr:rowOff>
        </xdr:to>
        <xdr:sp macro="" textlink="">
          <xdr:nvSpPr>
            <xdr:cNvPr id="1307" name="Nedrullningsbar listruta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3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317</xdr:row>
          <xdr:rowOff>0</xdr:rowOff>
        </xdr:from>
        <xdr:to>
          <xdr:col>4</xdr:col>
          <xdr:colOff>904875</xdr:colOff>
          <xdr:row>318</xdr:row>
          <xdr:rowOff>0</xdr:rowOff>
        </xdr:to>
        <xdr:sp macro="" textlink="">
          <xdr:nvSpPr>
            <xdr:cNvPr id="1308" name="Nedrullningsbar listruta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3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318</xdr:row>
          <xdr:rowOff>0</xdr:rowOff>
        </xdr:from>
        <xdr:to>
          <xdr:col>4</xdr:col>
          <xdr:colOff>904875</xdr:colOff>
          <xdr:row>319</xdr:row>
          <xdr:rowOff>0</xdr:rowOff>
        </xdr:to>
        <xdr:sp macro="" textlink="">
          <xdr:nvSpPr>
            <xdr:cNvPr id="1309" name="Nedrullningsbar listruta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3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319</xdr:row>
          <xdr:rowOff>0</xdr:rowOff>
        </xdr:from>
        <xdr:to>
          <xdr:col>4</xdr:col>
          <xdr:colOff>904875</xdr:colOff>
          <xdr:row>320</xdr:row>
          <xdr:rowOff>0</xdr:rowOff>
        </xdr:to>
        <xdr:sp macro="" textlink="">
          <xdr:nvSpPr>
            <xdr:cNvPr id="1310" name="Nedrullningsbar listruta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3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320</xdr:row>
          <xdr:rowOff>0</xdr:rowOff>
        </xdr:from>
        <xdr:to>
          <xdr:col>4</xdr:col>
          <xdr:colOff>904875</xdr:colOff>
          <xdr:row>321</xdr:row>
          <xdr:rowOff>0</xdr:rowOff>
        </xdr:to>
        <xdr:sp macro="" textlink="">
          <xdr:nvSpPr>
            <xdr:cNvPr id="1311" name="Nedrullningsbar listruta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3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321</xdr:row>
          <xdr:rowOff>0</xdr:rowOff>
        </xdr:from>
        <xdr:to>
          <xdr:col>4</xdr:col>
          <xdr:colOff>904875</xdr:colOff>
          <xdr:row>322</xdr:row>
          <xdr:rowOff>0</xdr:rowOff>
        </xdr:to>
        <xdr:sp macro="" textlink="">
          <xdr:nvSpPr>
            <xdr:cNvPr id="1312" name="Nedrullningsbar listruta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3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990600</xdr:colOff>
      <xdr:row>36</xdr:row>
      <xdr:rowOff>219075</xdr:rowOff>
    </xdr:from>
    <xdr:ext cx="7115175" cy="3762375"/>
    <xdr:pic>
      <xdr:nvPicPr>
        <xdr:cNvPr id="73" name="Bildobjekt 7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15175" cy="3762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6</xdr:row>
          <xdr:rowOff>190500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7412" name="Nedrullningsbar listruta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4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</xdr:row>
          <xdr:rowOff>190500</xdr:rowOff>
        </xdr:from>
        <xdr:to>
          <xdr:col>3</xdr:col>
          <xdr:colOff>257175</xdr:colOff>
          <xdr:row>8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66675</xdr:rowOff>
    </xdr:from>
    <xdr:to>
      <xdr:col>3</xdr:col>
      <xdr:colOff>628650</xdr:colOff>
      <xdr:row>94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36419</xdr:colOff>
      <xdr:row>48</xdr:row>
      <xdr:rowOff>155202</xdr:rowOff>
    </xdr:from>
    <xdr:to>
      <xdr:col>11</xdr:col>
      <xdr:colOff>549088</xdr:colOff>
      <xdr:row>72</xdr:row>
      <xdr:rowOff>33619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549088</xdr:colOff>
      <xdr:row>51</xdr:row>
      <xdr:rowOff>56029</xdr:rowOff>
    </xdr:from>
    <xdr:to>
      <xdr:col>5</xdr:col>
      <xdr:colOff>863412</xdr:colOff>
      <xdr:row>72</xdr:row>
      <xdr:rowOff>31935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43142</xdr:colOff>
      <xdr:row>51</xdr:row>
      <xdr:rowOff>33618</xdr:rowOff>
    </xdr:from>
    <xdr:to>
      <xdr:col>2</xdr:col>
      <xdr:colOff>357468</xdr:colOff>
      <xdr:row>72</xdr:row>
      <xdr:rowOff>17370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66675</xdr:rowOff>
    </xdr:from>
    <xdr:to>
      <xdr:col>3</xdr:col>
      <xdr:colOff>628650</xdr:colOff>
      <xdr:row>121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914400</xdr:colOff>
      <xdr:row>110</xdr:row>
      <xdr:rowOff>47625</xdr:rowOff>
    </xdr:from>
    <xdr:to>
      <xdr:col>10</xdr:col>
      <xdr:colOff>123825</xdr:colOff>
      <xdr:row>120</xdr:row>
      <xdr:rowOff>142875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58270</xdr:colOff>
      <xdr:row>211</xdr:row>
      <xdr:rowOff>154641</xdr:rowOff>
    </xdr:from>
    <xdr:to>
      <xdr:col>7</xdr:col>
      <xdr:colOff>11206</xdr:colOff>
      <xdr:row>243</xdr:row>
      <xdr:rowOff>112059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19051</xdr:rowOff>
    </xdr:from>
    <xdr:to>
      <xdr:col>9</xdr:col>
      <xdr:colOff>0</xdr:colOff>
      <xdr:row>20</xdr:row>
      <xdr:rowOff>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20</xdr:row>
      <xdr:rowOff>76200</xdr:rowOff>
    </xdr:from>
    <xdr:to>
      <xdr:col>9</xdr:col>
      <xdr:colOff>9525</xdr:colOff>
      <xdr:row>41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47</xdr:row>
      <xdr:rowOff>28575</xdr:rowOff>
    </xdr:from>
    <xdr:to>
      <xdr:col>8</xdr:col>
      <xdr:colOff>600075</xdr:colOff>
      <xdr:row>60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0</xdr:row>
      <xdr:rowOff>19051</xdr:rowOff>
    </xdr:from>
    <xdr:to>
      <xdr:col>19</xdr:col>
      <xdr:colOff>28575</xdr:colOff>
      <xdr:row>20</xdr:row>
      <xdr:rowOff>19051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66675</xdr:colOff>
      <xdr:row>20</xdr:row>
      <xdr:rowOff>85725</xdr:rowOff>
    </xdr:from>
    <xdr:to>
      <xdr:col>19</xdr:col>
      <xdr:colOff>38100</xdr:colOff>
      <xdr:row>41</xdr:row>
      <xdr:rowOff>9525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23</xdr:row>
      <xdr:rowOff>161925</xdr:rowOff>
    </xdr:to>
    <xdr:graphicFrame macro="">
      <xdr:nvGraphicFramePr>
        <xdr:cNvPr id="2" name="Diagram 1" title="Kalvvikter i k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9525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lgdata.se/algdata/SiteCollectionDocuments/&#196;lgf&#246;rvaltningsplaner/&#196;FPmall_2014_Ver%201_8_uppdaterad_2014-06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admin.lansstyrelsen.se/Users/660219-001/Downloads/&#196;FPmall_2014_Ver%201_8_uppdaterad_2014-06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  <cell r="D3" t="str">
            <v>Välj i lista</v>
          </cell>
        </row>
        <row r="5">
          <cell r="C5" t="str">
            <v>Tallar %</v>
          </cell>
          <cell r="D5" t="str">
            <v>RASE, andel ytor med god konkurrensstatus, %</v>
          </cell>
        </row>
        <row r="6">
          <cell r="C6" t="str">
            <v>Granar %</v>
          </cell>
          <cell r="D6" t="str">
            <v>Försommarbete, färska skador i %</v>
          </cell>
        </row>
        <row r="7">
          <cell r="C7" t="str">
            <v>Produktionsstammar %</v>
          </cell>
          <cell r="D7" t="str">
            <v>Ståndortsanpassning, andel ytor med rätt trsl, %</v>
          </cell>
        </row>
        <row r="8">
          <cell r="D8" t="str">
            <v>Föryngringsframgång, %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</row>
        <row r="5">
          <cell r="C5" t="str">
            <v>Tallar %</v>
          </cell>
        </row>
        <row r="6">
          <cell r="C6" t="str">
            <v>Granar %</v>
          </cell>
        </row>
        <row r="7">
          <cell r="C7" t="str">
            <v>Produktionsstammar %</v>
          </cell>
        </row>
      </sheetData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gdata@lansstyrelsen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5.xml"/><Relationship Id="rId21" Type="http://schemas.openxmlformats.org/officeDocument/2006/relationships/ctrlProp" Target="../ctrlProps/ctrlProp90.xml"/><Relationship Id="rId42" Type="http://schemas.openxmlformats.org/officeDocument/2006/relationships/ctrlProp" Target="../ctrlProps/ctrlProp111.xml"/><Relationship Id="rId47" Type="http://schemas.openxmlformats.org/officeDocument/2006/relationships/ctrlProp" Target="../ctrlProps/ctrlProp116.xml"/><Relationship Id="rId63" Type="http://schemas.openxmlformats.org/officeDocument/2006/relationships/ctrlProp" Target="../ctrlProps/ctrlProp132.xml"/><Relationship Id="rId68" Type="http://schemas.openxmlformats.org/officeDocument/2006/relationships/ctrlProp" Target="../ctrlProps/ctrlProp137.xml"/><Relationship Id="rId84" Type="http://schemas.openxmlformats.org/officeDocument/2006/relationships/ctrlProp" Target="../ctrlProps/ctrlProp153.xml"/><Relationship Id="rId89" Type="http://schemas.openxmlformats.org/officeDocument/2006/relationships/ctrlProp" Target="../ctrlProps/ctrlProp158.xml"/><Relationship Id="rId16" Type="http://schemas.openxmlformats.org/officeDocument/2006/relationships/ctrlProp" Target="../ctrlProps/ctrlProp85.xml"/><Relationship Id="rId11" Type="http://schemas.openxmlformats.org/officeDocument/2006/relationships/ctrlProp" Target="../ctrlProps/ctrlProp80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53" Type="http://schemas.openxmlformats.org/officeDocument/2006/relationships/ctrlProp" Target="../ctrlProps/ctrlProp122.xml"/><Relationship Id="rId58" Type="http://schemas.openxmlformats.org/officeDocument/2006/relationships/ctrlProp" Target="../ctrlProps/ctrlProp127.xml"/><Relationship Id="rId74" Type="http://schemas.openxmlformats.org/officeDocument/2006/relationships/ctrlProp" Target="../ctrlProps/ctrlProp143.xml"/><Relationship Id="rId79" Type="http://schemas.openxmlformats.org/officeDocument/2006/relationships/ctrlProp" Target="../ctrlProps/ctrlProp148.xml"/><Relationship Id="rId102" Type="http://schemas.openxmlformats.org/officeDocument/2006/relationships/ctrlProp" Target="../ctrlProps/ctrlProp171.xml"/><Relationship Id="rId5" Type="http://schemas.openxmlformats.org/officeDocument/2006/relationships/ctrlProp" Target="../ctrlProps/ctrlProp74.xml"/><Relationship Id="rId90" Type="http://schemas.openxmlformats.org/officeDocument/2006/relationships/ctrlProp" Target="../ctrlProps/ctrlProp159.xml"/><Relationship Id="rId95" Type="http://schemas.openxmlformats.org/officeDocument/2006/relationships/ctrlProp" Target="../ctrlProps/ctrlProp164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43" Type="http://schemas.openxmlformats.org/officeDocument/2006/relationships/ctrlProp" Target="../ctrlProps/ctrlProp112.xml"/><Relationship Id="rId48" Type="http://schemas.openxmlformats.org/officeDocument/2006/relationships/ctrlProp" Target="../ctrlProps/ctrlProp117.xml"/><Relationship Id="rId64" Type="http://schemas.openxmlformats.org/officeDocument/2006/relationships/ctrlProp" Target="../ctrlProps/ctrlProp133.xml"/><Relationship Id="rId69" Type="http://schemas.openxmlformats.org/officeDocument/2006/relationships/ctrlProp" Target="../ctrlProps/ctrlProp138.xml"/><Relationship Id="rId80" Type="http://schemas.openxmlformats.org/officeDocument/2006/relationships/ctrlProp" Target="../ctrlProps/ctrlProp149.xml"/><Relationship Id="rId85" Type="http://schemas.openxmlformats.org/officeDocument/2006/relationships/ctrlProp" Target="../ctrlProps/ctrlProp154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46" Type="http://schemas.openxmlformats.org/officeDocument/2006/relationships/ctrlProp" Target="../ctrlProps/ctrlProp115.xml"/><Relationship Id="rId59" Type="http://schemas.openxmlformats.org/officeDocument/2006/relationships/ctrlProp" Target="../ctrlProps/ctrlProp128.xml"/><Relationship Id="rId67" Type="http://schemas.openxmlformats.org/officeDocument/2006/relationships/ctrlProp" Target="../ctrlProps/ctrlProp136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Relationship Id="rId54" Type="http://schemas.openxmlformats.org/officeDocument/2006/relationships/ctrlProp" Target="../ctrlProps/ctrlProp123.xml"/><Relationship Id="rId62" Type="http://schemas.openxmlformats.org/officeDocument/2006/relationships/ctrlProp" Target="../ctrlProps/ctrlProp131.xml"/><Relationship Id="rId70" Type="http://schemas.openxmlformats.org/officeDocument/2006/relationships/ctrlProp" Target="../ctrlProps/ctrlProp139.xml"/><Relationship Id="rId75" Type="http://schemas.openxmlformats.org/officeDocument/2006/relationships/ctrlProp" Target="../ctrlProps/ctrlProp144.xml"/><Relationship Id="rId83" Type="http://schemas.openxmlformats.org/officeDocument/2006/relationships/ctrlProp" Target="../ctrlProps/ctrlProp152.xml"/><Relationship Id="rId88" Type="http://schemas.openxmlformats.org/officeDocument/2006/relationships/ctrlProp" Target="../ctrlProps/ctrlProp157.xml"/><Relationship Id="rId91" Type="http://schemas.openxmlformats.org/officeDocument/2006/relationships/ctrlProp" Target="../ctrlProps/ctrlProp160.xml"/><Relationship Id="rId96" Type="http://schemas.openxmlformats.org/officeDocument/2006/relationships/ctrlProp" Target="../ctrlProps/ctrlProp165.x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75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49" Type="http://schemas.openxmlformats.org/officeDocument/2006/relationships/ctrlProp" Target="../ctrlProps/ctrlProp118.xml"/><Relationship Id="rId57" Type="http://schemas.openxmlformats.org/officeDocument/2006/relationships/ctrlProp" Target="../ctrlProps/ctrlProp126.xml"/><Relationship Id="rId10" Type="http://schemas.openxmlformats.org/officeDocument/2006/relationships/ctrlProp" Target="../ctrlProps/ctrlProp79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52" Type="http://schemas.openxmlformats.org/officeDocument/2006/relationships/ctrlProp" Target="../ctrlProps/ctrlProp121.xml"/><Relationship Id="rId60" Type="http://schemas.openxmlformats.org/officeDocument/2006/relationships/ctrlProp" Target="../ctrlProps/ctrlProp129.xml"/><Relationship Id="rId65" Type="http://schemas.openxmlformats.org/officeDocument/2006/relationships/ctrlProp" Target="../ctrlProps/ctrlProp134.xml"/><Relationship Id="rId73" Type="http://schemas.openxmlformats.org/officeDocument/2006/relationships/ctrlProp" Target="../ctrlProps/ctrlProp142.xml"/><Relationship Id="rId78" Type="http://schemas.openxmlformats.org/officeDocument/2006/relationships/ctrlProp" Target="../ctrlProps/ctrlProp147.xml"/><Relationship Id="rId81" Type="http://schemas.openxmlformats.org/officeDocument/2006/relationships/ctrlProp" Target="../ctrlProps/ctrlProp150.xml"/><Relationship Id="rId86" Type="http://schemas.openxmlformats.org/officeDocument/2006/relationships/ctrlProp" Target="../ctrlProps/ctrlProp155.xml"/><Relationship Id="rId94" Type="http://schemas.openxmlformats.org/officeDocument/2006/relationships/ctrlProp" Target="../ctrlProps/ctrlProp163.xml"/><Relationship Id="rId99" Type="http://schemas.openxmlformats.org/officeDocument/2006/relationships/ctrlProp" Target="../ctrlProps/ctrlProp168.xml"/><Relationship Id="rId101" Type="http://schemas.openxmlformats.org/officeDocument/2006/relationships/ctrlProp" Target="../ctrlProps/ctrlProp170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9" Type="http://schemas.openxmlformats.org/officeDocument/2006/relationships/ctrlProp" Target="../ctrlProps/ctrlProp108.xml"/><Relationship Id="rId34" Type="http://schemas.openxmlformats.org/officeDocument/2006/relationships/ctrlProp" Target="../ctrlProps/ctrlProp103.xml"/><Relationship Id="rId50" Type="http://schemas.openxmlformats.org/officeDocument/2006/relationships/ctrlProp" Target="../ctrlProps/ctrlProp119.xml"/><Relationship Id="rId55" Type="http://schemas.openxmlformats.org/officeDocument/2006/relationships/ctrlProp" Target="../ctrlProps/ctrlProp124.xml"/><Relationship Id="rId76" Type="http://schemas.openxmlformats.org/officeDocument/2006/relationships/ctrlProp" Target="../ctrlProps/ctrlProp145.xml"/><Relationship Id="rId97" Type="http://schemas.openxmlformats.org/officeDocument/2006/relationships/ctrlProp" Target="../ctrlProps/ctrlProp166.xml"/><Relationship Id="rId7" Type="http://schemas.openxmlformats.org/officeDocument/2006/relationships/ctrlProp" Target="../ctrlProps/ctrlProp76.xml"/><Relationship Id="rId71" Type="http://schemas.openxmlformats.org/officeDocument/2006/relationships/ctrlProp" Target="../ctrlProps/ctrlProp140.xml"/><Relationship Id="rId92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29" Type="http://schemas.openxmlformats.org/officeDocument/2006/relationships/ctrlProp" Target="../ctrlProps/ctrlProp98.xml"/><Relationship Id="rId24" Type="http://schemas.openxmlformats.org/officeDocument/2006/relationships/ctrlProp" Target="../ctrlProps/ctrlProp93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66" Type="http://schemas.openxmlformats.org/officeDocument/2006/relationships/ctrlProp" Target="../ctrlProps/ctrlProp135.xml"/><Relationship Id="rId87" Type="http://schemas.openxmlformats.org/officeDocument/2006/relationships/ctrlProp" Target="../ctrlProps/ctrlProp156.xml"/><Relationship Id="rId61" Type="http://schemas.openxmlformats.org/officeDocument/2006/relationships/ctrlProp" Target="../ctrlProps/ctrlProp130.xml"/><Relationship Id="rId82" Type="http://schemas.openxmlformats.org/officeDocument/2006/relationships/ctrlProp" Target="../ctrlProps/ctrlProp151.xml"/><Relationship Id="rId19" Type="http://schemas.openxmlformats.org/officeDocument/2006/relationships/ctrlProp" Target="../ctrlProps/ctrlProp88.xml"/><Relationship Id="rId14" Type="http://schemas.openxmlformats.org/officeDocument/2006/relationships/ctrlProp" Target="../ctrlProps/ctrlProp83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56" Type="http://schemas.openxmlformats.org/officeDocument/2006/relationships/ctrlProp" Target="../ctrlProps/ctrlProp125.xml"/><Relationship Id="rId77" Type="http://schemas.openxmlformats.org/officeDocument/2006/relationships/ctrlProp" Target="../ctrlProps/ctrlProp146.xml"/><Relationship Id="rId100" Type="http://schemas.openxmlformats.org/officeDocument/2006/relationships/ctrlProp" Target="../ctrlProps/ctrlProp169.xml"/><Relationship Id="rId8" Type="http://schemas.openxmlformats.org/officeDocument/2006/relationships/ctrlProp" Target="../ctrlProps/ctrlProp77.xml"/><Relationship Id="rId51" Type="http://schemas.openxmlformats.org/officeDocument/2006/relationships/ctrlProp" Target="../ctrlProps/ctrlProp120.xml"/><Relationship Id="rId72" Type="http://schemas.openxmlformats.org/officeDocument/2006/relationships/ctrlProp" Target="../ctrlProps/ctrlProp141.xml"/><Relationship Id="rId93" Type="http://schemas.openxmlformats.org/officeDocument/2006/relationships/ctrlProp" Target="../ctrlProps/ctrlProp162.xml"/><Relationship Id="rId98" Type="http://schemas.openxmlformats.org/officeDocument/2006/relationships/ctrlProp" Target="../ctrlProps/ctrlProp167.xml"/><Relationship Id="rId3" Type="http://schemas.openxmlformats.org/officeDocument/2006/relationships/ctrlProp" Target="../ctrlProps/ctrlProp7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lg.kron@gmail.co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omments" Target="../comments1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hyperlink" Target="http://www.naturforvaltning.se/vad-vi-goer/aelgfrode.aspx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7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F26"/>
  <sheetViews>
    <sheetView topLeftCell="A25" workbookViewId="0">
      <selection activeCell="E14" sqref="E14"/>
    </sheetView>
  </sheetViews>
  <sheetFormatPr defaultRowHeight="15" x14ac:dyDescent="0.25"/>
  <cols>
    <col min="1" max="1" width="72.140625" bestFit="1" customWidth="1"/>
    <col min="4" max="4" width="32.140625" bestFit="1" customWidth="1"/>
    <col min="5" max="5" width="102" bestFit="1" customWidth="1"/>
    <col min="6" max="6" width="20.140625" bestFit="1" customWidth="1"/>
  </cols>
  <sheetData>
    <row r="1" spans="1:6" ht="18.75" customHeight="1" x14ac:dyDescent="0.3">
      <c r="A1" s="89" t="s">
        <v>0</v>
      </c>
      <c r="D1" s="212" t="s">
        <v>1225</v>
      </c>
      <c r="E1" s="212" t="s">
        <v>1226</v>
      </c>
      <c r="F1" s="212" t="s">
        <v>1228</v>
      </c>
    </row>
    <row r="2" spans="1:6" ht="18.75" x14ac:dyDescent="0.3">
      <c r="A2" s="89"/>
      <c r="D2" t="s">
        <v>1246</v>
      </c>
      <c r="E2" t="s">
        <v>1229</v>
      </c>
      <c r="F2" t="s">
        <v>1230</v>
      </c>
    </row>
    <row r="3" spans="1:6" x14ac:dyDescent="0.25">
      <c r="A3" s="12" t="s">
        <v>1</v>
      </c>
      <c r="E3" t="s">
        <v>1231</v>
      </c>
      <c r="F3" t="s">
        <v>1241</v>
      </c>
    </row>
    <row r="4" spans="1:6" x14ac:dyDescent="0.25">
      <c r="A4" s="11" t="s">
        <v>1206</v>
      </c>
      <c r="E4" t="s">
        <v>1232</v>
      </c>
      <c r="F4" t="s">
        <v>1233</v>
      </c>
    </row>
    <row r="5" spans="1:6" x14ac:dyDescent="0.25">
      <c r="A5" s="10" t="s">
        <v>1207</v>
      </c>
      <c r="E5" t="s">
        <v>1234</v>
      </c>
      <c r="F5" t="s">
        <v>1235</v>
      </c>
    </row>
    <row r="6" spans="1:6" x14ac:dyDescent="0.25">
      <c r="A6" s="9" t="s">
        <v>1208</v>
      </c>
      <c r="E6" t="s">
        <v>1239</v>
      </c>
      <c r="F6" t="s">
        <v>1240</v>
      </c>
    </row>
    <row r="7" spans="1:6" x14ac:dyDescent="0.25">
      <c r="A7" s="8" t="s">
        <v>1209</v>
      </c>
      <c r="E7" t="s">
        <v>1236</v>
      </c>
      <c r="F7" t="s">
        <v>1247</v>
      </c>
    </row>
    <row r="8" spans="1:6" x14ac:dyDescent="0.25">
      <c r="A8" s="7" t="s">
        <v>1210</v>
      </c>
      <c r="E8" t="s">
        <v>1237</v>
      </c>
      <c r="F8" t="s">
        <v>1238</v>
      </c>
    </row>
    <row r="9" spans="1:6" x14ac:dyDescent="0.25">
      <c r="A9" s="6" t="s">
        <v>1211</v>
      </c>
      <c r="E9" t="s">
        <v>1245</v>
      </c>
      <c r="F9" t="s">
        <v>1242</v>
      </c>
    </row>
    <row r="10" spans="1:6" x14ac:dyDescent="0.25">
      <c r="A10" s="2"/>
    </row>
    <row r="11" spans="1:6" ht="30" x14ac:dyDescent="0.25">
      <c r="A11" s="12" t="s">
        <v>1212</v>
      </c>
      <c r="D11" t="s">
        <v>1227</v>
      </c>
      <c r="E11" t="s">
        <v>1243</v>
      </c>
      <c r="F11" t="s">
        <v>1238</v>
      </c>
    </row>
    <row r="12" spans="1:6" x14ac:dyDescent="0.25">
      <c r="A12" s="2"/>
      <c r="E12" t="s">
        <v>1244</v>
      </c>
      <c r="F12" t="s">
        <v>1242</v>
      </c>
    </row>
    <row r="13" spans="1:6" ht="30" x14ac:dyDescent="0.25">
      <c r="A13" s="12" t="s">
        <v>1213</v>
      </c>
      <c r="E13" t="s">
        <v>1248</v>
      </c>
      <c r="F13" t="s">
        <v>1230</v>
      </c>
    </row>
    <row r="14" spans="1:6" x14ac:dyDescent="0.25">
      <c r="A14" s="2"/>
    </row>
    <row r="15" spans="1:6" x14ac:dyDescent="0.25">
      <c r="A15" s="5" t="s">
        <v>1214</v>
      </c>
    </row>
    <row r="16" spans="1:6" x14ac:dyDescent="0.25">
      <c r="A16" s="4" t="s">
        <v>1215</v>
      </c>
    </row>
    <row r="17" spans="1:6" ht="15.75" x14ac:dyDescent="0.25">
      <c r="A17" s="4" t="s">
        <v>1224</v>
      </c>
      <c r="E17" s="303"/>
      <c r="F17" s="303"/>
    </row>
    <row r="18" spans="1:6" ht="45" x14ac:dyDescent="0.25">
      <c r="A18" s="3" t="s">
        <v>1216</v>
      </c>
    </row>
    <row r="19" spans="1:6" ht="30" x14ac:dyDescent="0.25">
      <c r="A19" s="4" t="s">
        <v>1217</v>
      </c>
    </row>
    <row r="20" spans="1:6" x14ac:dyDescent="0.25">
      <c r="A20" s="4" t="s">
        <v>1218</v>
      </c>
    </row>
    <row r="21" spans="1:6" ht="30" x14ac:dyDescent="0.25">
      <c r="A21" s="4" t="s">
        <v>1219</v>
      </c>
    </row>
    <row r="22" spans="1:6" x14ac:dyDescent="0.25">
      <c r="A22" s="2"/>
    </row>
    <row r="23" spans="1:6" x14ac:dyDescent="0.25">
      <c r="A23" s="5" t="s">
        <v>1220</v>
      </c>
    </row>
    <row r="24" spans="1:6" ht="45" x14ac:dyDescent="0.25">
      <c r="A24" s="2" t="s">
        <v>1221</v>
      </c>
    </row>
    <row r="25" spans="1:6" ht="30" x14ac:dyDescent="0.25">
      <c r="A25" s="2" t="s">
        <v>1222</v>
      </c>
    </row>
    <row r="26" spans="1:6" x14ac:dyDescent="0.25">
      <c r="A26" s="1" t="s">
        <v>1223</v>
      </c>
    </row>
  </sheetData>
  <sheetProtection password="DB3D" sheet="1" objects="1" scenarios="1"/>
  <mergeCells count="1">
    <mergeCell ref="E17:F17"/>
  </mergeCells>
  <hyperlinks>
    <hyperlink ref="A26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6"/>
  <dimension ref="A1"/>
  <sheetViews>
    <sheetView workbookViewId="0">
      <selection activeCell="K30" sqref="K30 K30"/>
    </sheetView>
  </sheetViews>
  <sheetFormatPr defaultRowHeight="15" x14ac:dyDescent="0.25"/>
  <sheetData/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7"/>
  <dimension ref="A1"/>
  <sheetViews>
    <sheetView workbookViewId="0">
      <selection activeCell="H26" sqref="H26 H26"/>
    </sheetView>
  </sheetViews>
  <sheetFormatPr defaultRowHeight="15" x14ac:dyDescent="0.25"/>
  <sheetData/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/>
  <dimension ref="A1"/>
  <sheetViews>
    <sheetView workbookViewId="0">
      <selection activeCell="I27" sqref="I27 I27"/>
    </sheetView>
  </sheetViews>
  <sheetFormatPr defaultRowHeight="15" x14ac:dyDescent="0.25"/>
  <sheetData/>
  <sheetProtection password="DB3D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9"/>
  <dimension ref="A1"/>
  <sheetViews>
    <sheetView workbookViewId="0">
      <selection activeCell="H29" sqref="H29 H29"/>
    </sheetView>
  </sheetViews>
  <sheetFormatPr defaultRowHeight="15" x14ac:dyDescent="0.25"/>
  <cols>
    <col min="1" max="8" width="9.140625" customWidth="1"/>
    <col min="9" max="9" width="13.7109375" customWidth="1"/>
  </cols>
  <sheetData/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/>
  <dimension ref="A1:V143"/>
  <sheetViews>
    <sheetView topLeftCell="B1" workbookViewId="0">
      <selection activeCell="C141" sqref="C141 C141 C141:C143"/>
    </sheetView>
  </sheetViews>
  <sheetFormatPr defaultRowHeight="15" x14ac:dyDescent="0.25"/>
  <cols>
    <col min="1" max="1" width="15.28515625" bestFit="1" customWidth="1"/>
    <col min="2" max="2" width="53.28515625" bestFit="1" customWidth="1"/>
    <col min="3" max="3" width="34.5703125" customWidth="1"/>
    <col min="4" max="4" width="10.85546875" bestFit="1" customWidth="1"/>
    <col min="5" max="5" width="22.28515625" customWidth="1"/>
    <col min="6" max="7" width="9.28515625" bestFit="1" customWidth="1"/>
    <col min="8" max="8" width="8.5703125" customWidth="1"/>
    <col min="9" max="10" width="10.42578125" bestFit="1" customWidth="1"/>
    <col min="11" max="11" width="8.5703125" customWidth="1"/>
    <col min="12" max="13" width="10.28515625" customWidth="1"/>
    <col min="14" max="14" width="13.7109375" bestFit="1" customWidth="1"/>
    <col min="15" max="16" width="13.7109375" style="266" customWidth="1"/>
    <col min="17" max="17" width="11" customWidth="1"/>
    <col min="18" max="18" width="10.85546875" bestFit="1" customWidth="1"/>
    <col min="19" max="19" width="12" bestFit="1" customWidth="1"/>
  </cols>
  <sheetData>
    <row r="1" spans="1:22" ht="27.75" customHeight="1" thickTop="1" thickBot="1" x14ac:dyDescent="0.45">
      <c r="A1" s="38" t="s">
        <v>111</v>
      </c>
      <c r="B1" s="39">
        <v>2009</v>
      </c>
      <c r="O1"/>
      <c r="P1"/>
    </row>
    <row r="2" spans="1:22" s="235" customFormat="1" ht="65.25" customHeight="1" thickTop="1" thickBot="1" x14ac:dyDescent="0.25">
      <c r="A2" s="69" t="s">
        <v>11</v>
      </c>
      <c r="B2" s="70" t="s">
        <v>17</v>
      </c>
      <c r="C2" s="70" t="s">
        <v>1157</v>
      </c>
      <c r="D2" s="70" t="s">
        <v>1158</v>
      </c>
      <c r="E2" s="70" t="s">
        <v>1159</v>
      </c>
      <c r="F2" s="70" t="s">
        <v>136</v>
      </c>
      <c r="G2" s="70" t="s">
        <v>1160</v>
      </c>
      <c r="H2" s="71" t="s">
        <v>1161</v>
      </c>
      <c r="I2" s="71" t="s">
        <v>1162</v>
      </c>
      <c r="J2" s="71" t="s">
        <v>1163</v>
      </c>
      <c r="K2" s="71" t="s">
        <v>1164</v>
      </c>
      <c r="L2" s="71" t="s">
        <v>1165</v>
      </c>
      <c r="M2" s="71" t="s">
        <v>144</v>
      </c>
      <c r="N2" s="71" t="s">
        <v>150</v>
      </c>
      <c r="O2" s="267" t="s">
        <v>1166</v>
      </c>
      <c r="P2" s="268" t="s">
        <v>1167</v>
      </c>
      <c r="Q2" s="268" t="s">
        <v>1168</v>
      </c>
      <c r="R2" s="269" t="s">
        <v>1169</v>
      </c>
      <c r="S2" s="269" t="s">
        <v>1170</v>
      </c>
      <c r="T2" s="270" t="s">
        <v>1171</v>
      </c>
    </row>
    <row r="3" spans="1:22" x14ac:dyDescent="0.25">
      <c r="A3" s="271" t="s">
        <v>1172</v>
      </c>
      <c r="B3" s="272"/>
      <c r="C3" s="273" t="s">
        <v>1173</v>
      </c>
      <c r="D3" s="274"/>
      <c r="E3" s="275"/>
      <c r="F3" s="275"/>
      <c r="G3" s="275"/>
      <c r="H3" s="275"/>
      <c r="I3" s="276"/>
      <c r="J3" s="276"/>
      <c r="K3" s="72">
        <f t="shared" ref="K3:K12" si="0">IF(T3=TRUE,F3,0)</f>
        <v>0</v>
      </c>
      <c r="L3" s="73">
        <f t="shared" ref="L3:L12" si="1">IF(T3=TRUE,S3-R3,0)</f>
        <v>0</v>
      </c>
      <c r="M3" s="74">
        <f t="shared" ref="M3:M12" si="2">IF(T3=TRUE,G3/F3,0)</f>
        <v>0</v>
      </c>
      <c r="N3" s="75">
        <f t="shared" ref="N3:N12" si="3">IF(T3=TRUE,(G3*100000)/(F3*L3*C$23),0)</f>
        <v>0</v>
      </c>
      <c r="O3" s="277">
        <f t="shared" ref="O3:O12" si="4">IF(T3=TRUE,K3/K$13,0)</f>
        <v>0</v>
      </c>
      <c r="P3" s="278">
        <f t="shared" ref="P3:P12" si="5">M3*O3</f>
        <v>0</v>
      </c>
      <c r="Q3" s="278">
        <f t="shared" ref="Q3:Q12" si="6">N3*O3</f>
        <v>0</v>
      </c>
      <c r="R3" s="279">
        <f t="shared" ref="R3:R12" si="7">IF(J3&gt;1,J3,C$21+C$22)</f>
        <v>0</v>
      </c>
      <c r="S3" s="279">
        <f t="shared" ref="S3:S12" si="8">IF(I3&gt;1,I3,C$21+H3)</f>
        <v>0</v>
      </c>
      <c r="T3" s="280" t="b">
        <v>0</v>
      </c>
    </row>
    <row r="4" spans="1:22" x14ac:dyDescent="0.25">
      <c r="A4" s="281" t="s">
        <v>1174</v>
      </c>
      <c r="B4" s="282"/>
      <c r="C4" s="283" t="s">
        <v>1175</v>
      </c>
      <c r="D4" s="284"/>
      <c r="E4" s="285"/>
      <c r="F4" s="285"/>
      <c r="G4" s="285"/>
      <c r="H4" s="285"/>
      <c r="I4" s="285"/>
      <c r="J4" s="285"/>
      <c r="K4" s="73">
        <f t="shared" si="0"/>
        <v>0</v>
      </c>
      <c r="L4" s="73">
        <f t="shared" si="1"/>
        <v>0</v>
      </c>
      <c r="M4" s="74">
        <f t="shared" si="2"/>
        <v>0</v>
      </c>
      <c r="N4" s="75">
        <f t="shared" si="3"/>
        <v>0</v>
      </c>
      <c r="O4" s="286">
        <f t="shared" si="4"/>
        <v>0</v>
      </c>
      <c r="P4" s="278">
        <f t="shared" si="5"/>
        <v>0</v>
      </c>
      <c r="Q4" s="287">
        <f t="shared" si="6"/>
        <v>0</v>
      </c>
      <c r="R4" s="279">
        <f t="shared" si="7"/>
        <v>0</v>
      </c>
      <c r="S4" s="279">
        <f t="shared" si="8"/>
        <v>0</v>
      </c>
      <c r="T4" s="288" t="b">
        <v>0</v>
      </c>
    </row>
    <row r="5" spans="1:22" x14ac:dyDescent="0.25">
      <c r="A5" s="281" t="s">
        <v>1176</v>
      </c>
      <c r="B5" s="282"/>
      <c r="C5" s="283" t="s">
        <v>1177</v>
      </c>
      <c r="D5" s="284"/>
      <c r="E5" s="285"/>
      <c r="F5" s="285"/>
      <c r="G5" s="285"/>
      <c r="H5" s="285"/>
      <c r="I5" s="285"/>
      <c r="J5" s="285"/>
      <c r="K5" s="73">
        <f t="shared" si="0"/>
        <v>0</v>
      </c>
      <c r="L5" s="73">
        <f t="shared" si="1"/>
        <v>0</v>
      </c>
      <c r="M5" s="74">
        <f t="shared" si="2"/>
        <v>0</v>
      </c>
      <c r="N5" s="75">
        <f t="shared" si="3"/>
        <v>0</v>
      </c>
      <c r="O5" s="286">
        <f t="shared" si="4"/>
        <v>0</v>
      </c>
      <c r="P5" s="278">
        <f t="shared" si="5"/>
        <v>0</v>
      </c>
      <c r="Q5" s="287">
        <f t="shared" si="6"/>
        <v>0</v>
      </c>
      <c r="R5" s="279">
        <f t="shared" si="7"/>
        <v>0</v>
      </c>
      <c r="S5" s="279">
        <f t="shared" si="8"/>
        <v>0</v>
      </c>
      <c r="T5" s="288" t="b">
        <v>0</v>
      </c>
    </row>
    <row r="6" spans="1:22" x14ac:dyDescent="0.25">
      <c r="A6" s="281" t="s">
        <v>1178</v>
      </c>
      <c r="B6" s="282"/>
      <c r="C6" s="283" t="s">
        <v>1179</v>
      </c>
      <c r="D6" s="284"/>
      <c r="E6" s="285"/>
      <c r="F6" s="285"/>
      <c r="G6" s="285"/>
      <c r="H6" s="285"/>
      <c r="I6" s="285"/>
      <c r="J6" s="285"/>
      <c r="K6" s="73">
        <f t="shared" si="0"/>
        <v>0</v>
      </c>
      <c r="L6" s="73">
        <f t="shared" si="1"/>
        <v>0</v>
      </c>
      <c r="M6" s="74">
        <f t="shared" si="2"/>
        <v>0</v>
      </c>
      <c r="N6" s="75">
        <f t="shared" si="3"/>
        <v>0</v>
      </c>
      <c r="O6" s="286">
        <f t="shared" si="4"/>
        <v>0</v>
      </c>
      <c r="P6" s="278">
        <f t="shared" si="5"/>
        <v>0</v>
      </c>
      <c r="Q6" s="287">
        <f t="shared" si="6"/>
        <v>0</v>
      </c>
      <c r="R6" s="279">
        <f t="shared" si="7"/>
        <v>0</v>
      </c>
      <c r="S6" s="279">
        <f t="shared" si="8"/>
        <v>0</v>
      </c>
      <c r="T6" s="288" t="b">
        <v>0</v>
      </c>
    </row>
    <row r="7" spans="1:22" x14ac:dyDescent="0.25">
      <c r="A7" s="281" t="s">
        <v>1180</v>
      </c>
      <c r="B7" s="282"/>
      <c r="C7" s="283" t="s">
        <v>1181</v>
      </c>
      <c r="D7" s="284"/>
      <c r="E7" s="285"/>
      <c r="F7" s="285"/>
      <c r="G7" s="285"/>
      <c r="H7" s="285"/>
      <c r="I7" s="285"/>
      <c r="J7" s="285"/>
      <c r="K7" s="73">
        <f t="shared" si="0"/>
        <v>0</v>
      </c>
      <c r="L7" s="73">
        <f t="shared" si="1"/>
        <v>0</v>
      </c>
      <c r="M7" s="74">
        <f t="shared" si="2"/>
        <v>0</v>
      </c>
      <c r="N7" s="75">
        <f t="shared" si="3"/>
        <v>0</v>
      </c>
      <c r="O7" s="286">
        <f t="shared" si="4"/>
        <v>0</v>
      </c>
      <c r="P7" s="278">
        <f t="shared" si="5"/>
        <v>0</v>
      </c>
      <c r="Q7" s="287">
        <f t="shared" si="6"/>
        <v>0</v>
      </c>
      <c r="R7" s="279">
        <f t="shared" si="7"/>
        <v>0</v>
      </c>
      <c r="S7" s="279">
        <f t="shared" si="8"/>
        <v>0</v>
      </c>
      <c r="T7" s="288" t="b">
        <v>0</v>
      </c>
    </row>
    <row r="8" spans="1:22" x14ac:dyDescent="0.25">
      <c r="A8" s="281" t="s">
        <v>1182</v>
      </c>
      <c r="B8" s="282"/>
      <c r="C8" s="283" t="s">
        <v>1183</v>
      </c>
      <c r="D8" s="284"/>
      <c r="E8" s="285"/>
      <c r="F8" s="285"/>
      <c r="G8" s="285"/>
      <c r="H8" s="285"/>
      <c r="I8" s="285"/>
      <c r="J8" s="285"/>
      <c r="K8" s="73">
        <f t="shared" si="0"/>
        <v>0</v>
      </c>
      <c r="L8" s="73">
        <f t="shared" si="1"/>
        <v>0</v>
      </c>
      <c r="M8" s="74">
        <f t="shared" si="2"/>
        <v>0</v>
      </c>
      <c r="N8" s="75">
        <f t="shared" si="3"/>
        <v>0</v>
      </c>
      <c r="O8" s="286">
        <f t="shared" si="4"/>
        <v>0</v>
      </c>
      <c r="P8" s="278">
        <f t="shared" si="5"/>
        <v>0</v>
      </c>
      <c r="Q8" s="287">
        <f t="shared" si="6"/>
        <v>0</v>
      </c>
      <c r="R8" s="279">
        <f t="shared" si="7"/>
        <v>0</v>
      </c>
      <c r="S8" s="279">
        <f t="shared" si="8"/>
        <v>0</v>
      </c>
      <c r="T8" s="288" t="b">
        <v>0</v>
      </c>
    </row>
    <row r="9" spans="1:22" x14ac:dyDescent="0.25">
      <c r="A9" s="281" t="s">
        <v>1184</v>
      </c>
      <c r="B9" s="282"/>
      <c r="C9" s="283" t="s">
        <v>1185</v>
      </c>
      <c r="D9" s="284"/>
      <c r="E9" s="285"/>
      <c r="F9" s="285"/>
      <c r="G9" s="285"/>
      <c r="H9" s="285"/>
      <c r="I9" s="285"/>
      <c r="J9" s="285"/>
      <c r="K9" s="73">
        <f t="shared" si="0"/>
        <v>0</v>
      </c>
      <c r="L9" s="73">
        <f t="shared" si="1"/>
        <v>0</v>
      </c>
      <c r="M9" s="74">
        <f t="shared" si="2"/>
        <v>0</v>
      </c>
      <c r="N9" s="75">
        <f t="shared" si="3"/>
        <v>0</v>
      </c>
      <c r="O9" s="286">
        <f t="shared" si="4"/>
        <v>0</v>
      </c>
      <c r="P9" s="278">
        <f t="shared" si="5"/>
        <v>0</v>
      </c>
      <c r="Q9" s="287">
        <f t="shared" si="6"/>
        <v>0</v>
      </c>
      <c r="R9" s="279">
        <f t="shared" si="7"/>
        <v>0</v>
      </c>
      <c r="S9" s="279">
        <f t="shared" si="8"/>
        <v>0</v>
      </c>
      <c r="T9" s="288" t="b">
        <v>0</v>
      </c>
    </row>
    <row r="10" spans="1:22" x14ac:dyDescent="0.25">
      <c r="A10" s="281" t="s">
        <v>1186</v>
      </c>
      <c r="B10" s="282"/>
      <c r="C10" s="283" t="s">
        <v>1187</v>
      </c>
      <c r="D10" s="284"/>
      <c r="E10" s="285"/>
      <c r="F10" s="285"/>
      <c r="G10" s="285"/>
      <c r="H10" s="285"/>
      <c r="I10" s="285"/>
      <c r="J10" s="285"/>
      <c r="K10" s="73">
        <f t="shared" si="0"/>
        <v>0</v>
      </c>
      <c r="L10" s="73">
        <f t="shared" si="1"/>
        <v>0</v>
      </c>
      <c r="M10" s="74">
        <f t="shared" si="2"/>
        <v>0</v>
      </c>
      <c r="N10" s="75">
        <f t="shared" si="3"/>
        <v>0</v>
      </c>
      <c r="O10" s="286">
        <f t="shared" si="4"/>
        <v>0</v>
      </c>
      <c r="P10" s="278">
        <f t="shared" si="5"/>
        <v>0</v>
      </c>
      <c r="Q10" s="287">
        <f t="shared" si="6"/>
        <v>0</v>
      </c>
      <c r="R10" s="279">
        <f t="shared" si="7"/>
        <v>0</v>
      </c>
      <c r="S10" s="279">
        <f t="shared" si="8"/>
        <v>0</v>
      </c>
      <c r="T10" s="288" t="b">
        <v>0</v>
      </c>
    </row>
    <row r="11" spans="1:22" x14ac:dyDescent="0.25">
      <c r="A11" s="281" t="s">
        <v>1188</v>
      </c>
      <c r="B11" s="282"/>
      <c r="C11" s="283" t="s">
        <v>1189</v>
      </c>
      <c r="D11" s="284"/>
      <c r="E11" s="285"/>
      <c r="F11" s="285"/>
      <c r="G11" s="285"/>
      <c r="H11" s="285"/>
      <c r="I11" s="285"/>
      <c r="J11" s="285"/>
      <c r="K11" s="73">
        <f t="shared" si="0"/>
        <v>0</v>
      </c>
      <c r="L11" s="73">
        <f t="shared" si="1"/>
        <v>0</v>
      </c>
      <c r="M11" s="74">
        <f t="shared" si="2"/>
        <v>0</v>
      </c>
      <c r="N11" s="75">
        <f t="shared" si="3"/>
        <v>0</v>
      </c>
      <c r="O11" s="286">
        <f t="shared" si="4"/>
        <v>0</v>
      </c>
      <c r="P11" s="278">
        <f t="shared" si="5"/>
        <v>0</v>
      </c>
      <c r="Q11" s="287">
        <f t="shared" si="6"/>
        <v>0</v>
      </c>
      <c r="R11" s="279">
        <f t="shared" si="7"/>
        <v>0</v>
      </c>
      <c r="S11" s="279">
        <f t="shared" si="8"/>
        <v>0</v>
      </c>
      <c r="T11" s="288" t="b">
        <v>0</v>
      </c>
    </row>
    <row r="12" spans="1:22" ht="15.75" customHeight="1" thickBot="1" x14ac:dyDescent="0.3">
      <c r="A12" s="289" t="s">
        <v>1190</v>
      </c>
      <c r="B12" s="290"/>
      <c r="C12" s="291" t="s">
        <v>1191</v>
      </c>
      <c r="D12" s="292"/>
      <c r="E12" s="293"/>
      <c r="F12" s="293"/>
      <c r="G12" s="293"/>
      <c r="H12" s="293"/>
      <c r="I12" s="293"/>
      <c r="J12" s="293"/>
      <c r="K12" s="76">
        <f t="shared" si="0"/>
        <v>0</v>
      </c>
      <c r="L12" s="73">
        <f t="shared" si="1"/>
        <v>0</v>
      </c>
      <c r="M12" s="74">
        <f t="shared" si="2"/>
        <v>0</v>
      </c>
      <c r="N12" s="77">
        <f t="shared" si="3"/>
        <v>0</v>
      </c>
      <c r="O12" s="294">
        <f t="shared" si="4"/>
        <v>0</v>
      </c>
      <c r="P12" s="278">
        <f t="shared" si="5"/>
        <v>0</v>
      </c>
      <c r="Q12" s="295">
        <f t="shared" si="6"/>
        <v>0</v>
      </c>
      <c r="R12" s="279">
        <f t="shared" si="7"/>
        <v>0</v>
      </c>
      <c r="S12" s="279">
        <f t="shared" si="8"/>
        <v>0</v>
      </c>
      <c r="T12" s="296" t="b">
        <v>0</v>
      </c>
    </row>
    <row r="13" spans="1:22" s="212" customFormat="1" ht="15.75" customHeight="1" thickBot="1" x14ac:dyDescent="0.3">
      <c r="A13" s="35" t="s">
        <v>1192</v>
      </c>
      <c r="B13" s="78"/>
      <c r="C13" s="36" t="s">
        <v>72</v>
      </c>
      <c r="D13" s="36"/>
      <c r="E13" s="36"/>
      <c r="F13" s="36">
        <f>SUBTOTAL(9,F3:F12)</f>
        <v>0</v>
      </c>
      <c r="G13" s="36">
        <f>SUBTOTAL(9,G3:G12)</f>
        <v>0</v>
      </c>
      <c r="H13" s="36"/>
      <c r="I13" s="36"/>
      <c r="J13" s="36"/>
      <c r="K13" s="36">
        <f>SUBTOTAL(9,K3:K12)</f>
        <v>0</v>
      </c>
      <c r="L13" s="36">
        <f>SUBTOTAL(9,L3:L12)</f>
        <v>0</v>
      </c>
      <c r="M13" s="79">
        <f>P13</f>
        <v>0</v>
      </c>
      <c r="N13" s="79">
        <f>Q13</f>
        <v>0</v>
      </c>
      <c r="O13" s="297">
        <f>SUBTOTAL(9,O3:O12)</f>
        <v>0</v>
      </c>
      <c r="P13" s="298">
        <f>SUBTOTAL(9,P3:P12)</f>
        <v>0</v>
      </c>
      <c r="Q13" s="298">
        <f>SUBTOTAL(9,Q3:Q12)</f>
        <v>0</v>
      </c>
      <c r="R13" s="299"/>
      <c r="S13" s="299"/>
      <c r="T13" s="300"/>
    </row>
    <row r="14" spans="1:22" ht="15.75" customHeight="1" thickTop="1" x14ac:dyDescent="0.25">
      <c r="A14" t="s">
        <v>1193</v>
      </c>
      <c r="O14"/>
      <c r="P14"/>
      <c r="U14" s="266"/>
      <c r="V14" s="266"/>
    </row>
    <row r="15" spans="1:22" x14ac:dyDescent="0.25">
      <c r="O15"/>
      <c r="P15"/>
      <c r="U15" s="266"/>
      <c r="V15" s="266"/>
    </row>
    <row r="16" spans="1:22" x14ac:dyDescent="0.25">
      <c r="B16" s="284" t="s">
        <v>1194</v>
      </c>
      <c r="O16"/>
      <c r="P16"/>
      <c r="U16" s="266"/>
      <c r="V16" s="266"/>
    </row>
    <row r="17" spans="1:20" x14ac:dyDescent="0.25">
      <c r="B17" s="286" t="s">
        <v>1195</v>
      </c>
      <c r="O17"/>
      <c r="P17"/>
      <c r="S17" s="266"/>
      <c r="T17" s="266"/>
    </row>
    <row r="18" spans="1:20" x14ac:dyDescent="0.25">
      <c r="B18" s="73" t="s">
        <v>1196</v>
      </c>
      <c r="N18" s="219"/>
      <c r="O18"/>
      <c r="P18"/>
      <c r="S18" s="266"/>
      <c r="T18" s="266"/>
    </row>
    <row r="19" spans="1:20" x14ac:dyDescent="0.25">
      <c r="N19" s="219"/>
      <c r="O19"/>
      <c r="P19"/>
      <c r="S19" s="266"/>
      <c r="T19" s="266"/>
    </row>
    <row r="20" spans="1:20" ht="15.75" customHeight="1" thickBot="1" x14ac:dyDescent="0.3">
      <c r="B20" s="37" t="s">
        <v>1197</v>
      </c>
      <c r="C20" s="37"/>
      <c r="O20"/>
      <c r="P20"/>
      <c r="S20" s="266"/>
      <c r="T20" s="266"/>
    </row>
    <row r="21" spans="1:20" x14ac:dyDescent="0.25">
      <c r="B21" t="s">
        <v>1198</v>
      </c>
      <c r="C21" s="265"/>
      <c r="O21"/>
      <c r="P21"/>
      <c r="S21" s="266"/>
      <c r="T21" s="266"/>
    </row>
    <row r="22" spans="1:20" x14ac:dyDescent="0.25">
      <c r="B22" t="s">
        <v>1199</v>
      </c>
      <c r="C22" s="301"/>
      <c r="O22"/>
      <c r="P22"/>
      <c r="S22" s="266"/>
      <c r="T22" s="266"/>
    </row>
    <row r="23" spans="1:20" x14ac:dyDescent="0.25">
      <c r="B23" t="s">
        <v>1200</v>
      </c>
      <c r="C23" s="302"/>
    </row>
    <row r="24" spans="1:20" ht="15.75" customHeight="1" thickBot="1" x14ac:dyDescent="0.3">
      <c r="O24"/>
      <c r="P24"/>
    </row>
    <row r="25" spans="1:20" ht="27.75" customHeight="1" thickTop="1" thickBot="1" x14ac:dyDescent="0.45">
      <c r="A25" s="38" t="s">
        <v>111</v>
      </c>
      <c r="B25" s="39">
        <v>2010</v>
      </c>
      <c r="O25"/>
      <c r="P25"/>
    </row>
    <row r="26" spans="1:20" s="235" customFormat="1" ht="65.25" customHeight="1" thickTop="1" thickBot="1" x14ac:dyDescent="0.25">
      <c r="A26" s="69" t="s">
        <v>11</v>
      </c>
      <c r="B26" s="70" t="s">
        <v>17</v>
      </c>
      <c r="C26" s="70" t="s">
        <v>1157</v>
      </c>
      <c r="D26" s="70" t="s">
        <v>1158</v>
      </c>
      <c r="E26" s="70" t="s">
        <v>1159</v>
      </c>
      <c r="F26" s="70" t="s">
        <v>136</v>
      </c>
      <c r="G26" s="70" t="s">
        <v>1160</v>
      </c>
      <c r="H26" s="71" t="s">
        <v>1165</v>
      </c>
      <c r="I26" s="71"/>
      <c r="J26" s="71" t="s">
        <v>1201</v>
      </c>
      <c r="K26" s="71" t="s">
        <v>1164</v>
      </c>
      <c r="L26" s="71" t="s">
        <v>1165</v>
      </c>
      <c r="M26" s="71" t="s">
        <v>144</v>
      </c>
      <c r="N26" s="71" t="s">
        <v>150</v>
      </c>
      <c r="O26" s="267" t="s">
        <v>1166</v>
      </c>
      <c r="P26" s="268" t="s">
        <v>1167</v>
      </c>
      <c r="Q26" s="268" t="s">
        <v>1168</v>
      </c>
      <c r="R26" s="269" t="s">
        <v>1169</v>
      </c>
      <c r="S26" s="269" t="s">
        <v>1170</v>
      </c>
      <c r="T26" s="270" t="s">
        <v>1171</v>
      </c>
    </row>
    <row r="27" spans="1:20" x14ac:dyDescent="0.25">
      <c r="A27" s="271" t="s">
        <v>1172</v>
      </c>
      <c r="B27" s="272"/>
      <c r="C27" s="273" t="s">
        <v>1173</v>
      </c>
      <c r="D27" s="274"/>
      <c r="E27" s="275"/>
      <c r="F27" s="275"/>
      <c r="G27" s="275"/>
      <c r="H27" s="275"/>
      <c r="I27" s="275"/>
      <c r="J27" s="276"/>
      <c r="K27" s="72">
        <f t="shared" ref="K27:K36" si="9">IF(T27=TRUE,F27,0)</f>
        <v>0</v>
      </c>
      <c r="L27" s="73">
        <f t="shared" ref="L27:L36" si="10">IF(T27=TRUE,S27-R27,0)</f>
        <v>0</v>
      </c>
      <c r="M27" s="74">
        <f t="shared" ref="M27:M36" si="11">IF(T27=TRUE,G27/F27,0)</f>
        <v>0</v>
      </c>
      <c r="N27" s="74">
        <f t="shared" ref="N27:N36" si="12">IF(T27=TRUE,(G27*100000)/(F27*L27*C$47),0)</f>
        <v>0</v>
      </c>
      <c r="O27" s="277">
        <f t="shared" ref="O27:O36" si="13">IF(T27=TRUE,K27/K$37,0)</f>
        <v>0</v>
      </c>
      <c r="P27" s="278">
        <f t="shared" ref="P27:P36" si="14">M27*O27</f>
        <v>0</v>
      </c>
      <c r="Q27" s="278">
        <f t="shared" ref="Q27:Q36" si="15">N27*O27</f>
        <v>0</v>
      </c>
      <c r="R27" s="279">
        <f t="shared" ref="R27:R36" si="16">IF(J27&gt;1,J27,C$45+C$46)</f>
        <v>0</v>
      </c>
      <c r="S27" s="279">
        <f t="shared" ref="S27:S36" si="17">IF(I27&gt;1,I27,C$45+H27)</f>
        <v>0</v>
      </c>
      <c r="T27" s="280" t="b">
        <v>0</v>
      </c>
    </row>
    <row r="28" spans="1:20" x14ac:dyDescent="0.25">
      <c r="A28" s="281" t="s">
        <v>1174</v>
      </c>
      <c r="B28" s="282"/>
      <c r="C28" s="283" t="s">
        <v>1175</v>
      </c>
      <c r="D28" s="284"/>
      <c r="E28" s="285"/>
      <c r="F28" s="285"/>
      <c r="G28" s="285"/>
      <c r="H28" s="285"/>
      <c r="I28" s="285"/>
      <c r="J28" s="285"/>
      <c r="K28" s="73">
        <f t="shared" si="9"/>
        <v>0</v>
      </c>
      <c r="L28" s="73">
        <f t="shared" si="10"/>
        <v>0</v>
      </c>
      <c r="M28" s="74">
        <f t="shared" si="11"/>
        <v>0</v>
      </c>
      <c r="N28" s="74">
        <f t="shared" si="12"/>
        <v>0</v>
      </c>
      <c r="O28" s="277">
        <f t="shared" si="13"/>
        <v>0</v>
      </c>
      <c r="P28" s="278">
        <f t="shared" si="14"/>
        <v>0</v>
      </c>
      <c r="Q28" s="287">
        <f t="shared" si="15"/>
        <v>0</v>
      </c>
      <c r="R28" s="279">
        <f t="shared" si="16"/>
        <v>0</v>
      </c>
      <c r="S28" s="279">
        <f t="shared" si="17"/>
        <v>0</v>
      </c>
      <c r="T28" s="288" t="b">
        <v>0</v>
      </c>
    </row>
    <row r="29" spans="1:20" x14ac:dyDescent="0.25">
      <c r="A29" s="281" t="s">
        <v>1176</v>
      </c>
      <c r="B29" s="282"/>
      <c r="C29" s="283" t="s">
        <v>1177</v>
      </c>
      <c r="D29" s="284"/>
      <c r="E29" s="285"/>
      <c r="F29" s="285"/>
      <c r="G29" s="285"/>
      <c r="H29" s="285"/>
      <c r="I29" s="285"/>
      <c r="J29" s="285"/>
      <c r="K29" s="73">
        <f t="shared" si="9"/>
        <v>0</v>
      </c>
      <c r="L29" s="73">
        <f t="shared" si="10"/>
        <v>0</v>
      </c>
      <c r="M29" s="74">
        <f t="shared" si="11"/>
        <v>0</v>
      </c>
      <c r="N29" s="74">
        <f t="shared" si="12"/>
        <v>0</v>
      </c>
      <c r="O29" s="277">
        <f t="shared" si="13"/>
        <v>0</v>
      </c>
      <c r="P29" s="278">
        <f t="shared" si="14"/>
        <v>0</v>
      </c>
      <c r="Q29" s="287">
        <f t="shared" si="15"/>
        <v>0</v>
      </c>
      <c r="R29" s="279">
        <f t="shared" si="16"/>
        <v>0</v>
      </c>
      <c r="S29" s="279">
        <f t="shared" si="17"/>
        <v>0</v>
      </c>
      <c r="T29" s="288" t="b">
        <v>0</v>
      </c>
    </row>
    <row r="30" spans="1:20" x14ac:dyDescent="0.25">
      <c r="A30" s="281" t="s">
        <v>1178</v>
      </c>
      <c r="B30" s="282"/>
      <c r="C30" s="283" t="s">
        <v>1179</v>
      </c>
      <c r="D30" s="284"/>
      <c r="E30" s="285"/>
      <c r="F30" s="285"/>
      <c r="G30" s="285"/>
      <c r="H30" s="285"/>
      <c r="I30" s="285"/>
      <c r="J30" s="285"/>
      <c r="K30" s="73">
        <f t="shared" si="9"/>
        <v>0</v>
      </c>
      <c r="L30" s="73">
        <f t="shared" si="10"/>
        <v>0</v>
      </c>
      <c r="M30" s="74">
        <f t="shared" si="11"/>
        <v>0</v>
      </c>
      <c r="N30" s="74">
        <f t="shared" si="12"/>
        <v>0</v>
      </c>
      <c r="O30" s="277">
        <f t="shared" si="13"/>
        <v>0</v>
      </c>
      <c r="P30" s="278">
        <f t="shared" si="14"/>
        <v>0</v>
      </c>
      <c r="Q30" s="287">
        <f t="shared" si="15"/>
        <v>0</v>
      </c>
      <c r="R30" s="279">
        <f t="shared" si="16"/>
        <v>0</v>
      </c>
      <c r="S30" s="279">
        <f t="shared" si="17"/>
        <v>0</v>
      </c>
      <c r="T30" s="288" t="b">
        <v>0</v>
      </c>
    </row>
    <row r="31" spans="1:20" x14ac:dyDescent="0.25">
      <c r="A31" s="281" t="s">
        <v>1180</v>
      </c>
      <c r="B31" s="282"/>
      <c r="C31" s="283" t="s">
        <v>1181</v>
      </c>
      <c r="D31" s="284"/>
      <c r="E31" s="285"/>
      <c r="F31" s="285"/>
      <c r="G31" s="285"/>
      <c r="H31" s="285"/>
      <c r="I31" s="285"/>
      <c r="J31" s="285"/>
      <c r="K31" s="73">
        <f t="shared" si="9"/>
        <v>0</v>
      </c>
      <c r="L31" s="73">
        <f t="shared" si="10"/>
        <v>0</v>
      </c>
      <c r="M31" s="74">
        <f t="shared" si="11"/>
        <v>0</v>
      </c>
      <c r="N31" s="74">
        <f t="shared" si="12"/>
        <v>0</v>
      </c>
      <c r="O31" s="277">
        <f t="shared" si="13"/>
        <v>0</v>
      </c>
      <c r="P31" s="278">
        <f t="shared" si="14"/>
        <v>0</v>
      </c>
      <c r="Q31" s="287">
        <f t="shared" si="15"/>
        <v>0</v>
      </c>
      <c r="R31" s="279">
        <f t="shared" si="16"/>
        <v>0</v>
      </c>
      <c r="S31" s="279">
        <f t="shared" si="17"/>
        <v>0</v>
      </c>
      <c r="T31" s="288" t="b">
        <v>0</v>
      </c>
    </row>
    <row r="32" spans="1:20" x14ac:dyDescent="0.25">
      <c r="A32" s="281" t="s">
        <v>1182</v>
      </c>
      <c r="B32" s="282"/>
      <c r="C32" s="283" t="s">
        <v>1183</v>
      </c>
      <c r="D32" s="284"/>
      <c r="E32" s="285"/>
      <c r="F32" s="285"/>
      <c r="G32" s="285"/>
      <c r="H32" s="285"/>
      <c r="I32" s="285"/>
      <c r="J32" s="285"/>
      <c r="K32" s="73">
        <f t="shared" si="9"/>
        <v>0</v>
      </c>
      <c r="L32" s="73">
        <f t="shared" si="10"/>
        <v>0</v>
      </c>
      <c r="M32" s="74">
        <f t="shared" si="11"/>
        <v>0</v>
      </c>
      <c r="N32" s="74">
        <f t="shared" si="12"/>
        <v>0</v>
      </c>
      <c r="O32" s="277">
        <f t="shared" si="13"/>
        <v>0</v>
      </c>
      <c r="P32" s="278">
        <f t="shared" si="14"/>
        <v>0</v>
      </c>
      <c r="Q32" s="287">
        <f t="shared" si="15"/>
        <v>0</v>
      </c>
      <c r="R32" s="279">
        <f t="shared" si="16"/>
        <v>0</v>
      </c>
      <c r="S32" s="279">
        <f t="shared" si="17"/>
        <v>0</v>
      </c>
      <c r="T32" s="288" t="b">
        <v>0</v>
      </c>
    </row>
    <row r="33" spans="1:22" x14ac:dyDescent="0.25">
      <c r="A33" s="281" t="s">
        <v>1184</v>
      </c>
      <c r="B33" s="282"/>
      <c r="C33" s="283" t="s">
        <v>1185</v>
      </c>
      <c r="D33" s="284"/>
      <c r="E33" s="285"/>
      <c r="F33" s="285"/>
      <c r="G33" s="285"/>
      <c r="H33" s="285"/>
      <c r="I33" s="285"/>
      <c r="J33" s="285"/>
      <c r="K33" s="73">
        <f t="shared" si="9"/>
        <v>0</v>
      </c>
      <c r="L33" s="73">
        <f t="shared" si="10"/>
        <v>0</v>
      </c>
      <c r="M33" s="74">
        <f t="shared" si="11"/>
        <v>0</v>
      </c>
      <c r="N33" s="74">
        <f t="shared" si="12"/>
        <v>0</v>
      </c>
      <c r="O33" s="277">
        <f t="shared" si="13"/>
        <v>0</v>
      </c>
      <c r="P33" s="278">
        <f t="shared" si="14"/>
        <v>0</v>
      </c>
      <c r="Q33" s="287">
        <f t="shared" si="15"/>
        <v>0</v>
      </c>
      <c r="R33" s="279">
        <f t="shared" si="16"/>
        <v>0</v>
      </c>
      <c r="S33" s="279">
        <f t="shared" si="17"/>
        <v>0</v>
      </c>
      <c r="T33" s="288" t="b">
        <v>0</v>
      </c>
    </row>
    <row r="34" spans="1:22" x14ac:dyDescent="0.25">
      <c r="A34" s="281" t="s">
        <v>1186</v>
      </c>
      <c r="B34" s="282"/>
      <c r="C34" s="283" t="s">
        <v>1187</v>
      </c>
      <c r="D34" s="284"/>
      <c r="E34" s="285"/>
      <c r="F34" s="285"/>
      <c r="G34" s="285"/>
      <c r="H34" s="285"/>
      <c r="I34" s="285"/>
      <c r="J34" s="285"/>
      <c r="K34" s="73">
        <f t="shared" si="9"/>
        <v>0</v>
      </c>
      <c r="L34" s="73">
        <f t="shared" si="10"/>
        <v>0</v>
      </c>
      <c r="M34" s="74">
        <f t="shared" si="11"/>
        <v>0</v>
      </c>
      <c r="N34" s="74">
        <f t="shared" si="12"/>
        <v>0</v>
      </c>
      <c r="O34" s="277">
        <f t="shared" si="13"/>
        <v>0</v>
      </c>
      <c r="P34" s="278">
        <f t="shared" si="14"/>
        <v>0</v>
      </c>
      <c r="Q34" s="287">
        <f t="shared" si="15"/>
        <v>0</v>
      </c>
      <c r="R34" s="279">
        <f t="shared" si="16"/>
        <v>0</v>
      </c>
      <c r="S34" s="279">
        <f t="shared" si="17"/>
        <v>0</v>
      </c>
      <c r="T34" s="288" t="b">
        <v>0</v>
      </c>
    </row>
    <row r="35" spans="1:22" x14ac:dyDescent="0.25">
      <c r="A35" s="281" t="s">
        <v>1188</v>
      </c>
      <c r="B35" s="282"/>
      <c r="C35" s="283" t="s">
        <v>1189</v>
      </c>
      <c r="D35" s="284"/>
      <c r="E35" s="285"/>
      <c r="F35" s="285"/>
      <c r="G35" s="285"/>
      <c r="H35" s="285"/>
      <c r="I35" s="285"/>
      <c r="J35" s="285"/>
      <c r="K35" s="73">
        <f t="shared" si="9"/>
        <v>0</v>
      </c>
      <c r="L35" s="73">
        <f t="shared" si="10"/>
        <v>0</v>
      </c>
      <c r="M35" s="74">
        <f t="shared" si="11"/>
        <v>0</v>
      </c>
      <c r="N35" s="74">
        <f t="shared" si="12"/>
        <v>0</v>
      </c>
      <c r="O35" s="277">
        <f t="shared" si="13"/>
        <v>0</v>
      </c>
      <c r="P35" s="278">
        <f t="shared" si="14"/>
        <v>0</v>
      </c>
      <c r="Q35" s="287">
        <f t="shared" si="15"/>
        <v>0</v>
      </c>
      <c r="R35" s="279">
        <f t="shared" si="16"/>
        <v>0</v>
      </c>
      <c r="S35" s="279">
        <f t="shared" si="17"/>
        <v>0</v>
      </c>
      <c r="T35" s="288" t="b">
        <v>0</v>
      </c>
    </row>
    <row r="36" spans="1:22" ht="15.75" customHeight="1" thickBot="1" x14ac:dyDescent="0.3">
      <c r="A36" s="289" t="s">
        <v>1190</v>
      </c>
      <c r="B36" s="290"/>
      <c r="C36" s="291" t="s">
        <v>1191</v>
      </c>
      <c r="D36" s="292"/>
      <c r="E36" s="293"/>
      <c r="F36" s="293"/>
      <c r="G36" s="293"/>
      <c r="H36" s="293"/>
      <c r="I36" s="293"/>
      <c r="J36" s="293"/>
      <c r="K36" s="76">
        <f t="shared" si="9"/>
        <v>0</v>
      </c>
      <c r="L36" s="73">
        <f t="shared" si="10"/>
        <v>0</v>
      </c>
      <c r="M36" s="74">
        <f t="shared" si="11"/>
        <v>0</v>
      </c>
      <c r="N36" s="74">
        <f t="shared" si="12"/>
        <v>0</v>
      </c>
      <c r="O36" s="277">
        <f t="shared" si="13"/>
        <v>0</v>
      </c>
      <c r="P36" s="278">
        <f t="shared" si="14"/>
        <v>0</v>
      </c>
      <c r="Q36" s="295">
        <f t="shared" si="15"/>
        <v>0</v>
      </c>
      <c r="R36" s="279">
        <f t="shared" si="16"/>
        <v>0</v>
      </c>
      <c r="S36" s="279">
        <f t="shared" si="17"/>
        <v>0</v>
      </c>
      <c r="T36" s="296" t="b">
        <v>0</v>
      </c>
    </row>
    <row r="37" spans="1:22" s="212" customFormat="1" ht="15.75" customHeight="1" thickBot="1" x14ac:dyDescent="0.3">
      <c r="A37" s="35" t="s">
        <v>1192</v>
      </c>
      <c r="B37" s="78"/>
      <c r="C37" s="36" t="s">
        <v>72</v>
      </c>
      <c r="D37" s="36"/>
      <c r="E37" s="36"/>
      <c r="F37" s="36">
        <f>SUBTOTAL(9,F27:F36)</f>
        <v>0</v>
      </c>
      <c r="G37" s="36">
        <f>SUBTOTAL(9,G27:G36)</f>
        <v>0</v>
      </c>
      <c r="H37" s="36"/>
      <c r="I37" s="36"/>
      <c r="J37" s="36"/>
      <c r="K37" s="36">
        <f>SUBTOTAL(9,K27:K36)</f>
        <v>0</v>
      </c>
      <c r="L37" s="36">
        <f>SUBTOTAL(9,L27:L36)</f>
        <v>0</v>
      </c>
      <c r="M37" s="79">
        <f>P37</f>
        <v>0</v>
      </c>
      <c r="N37" s="79">
        <f>Q37</f>
        <v>0</v>
      </c>
      <c r="O37" s="297">
        <f>SUBTOTAL(9,O27:O36)</f>
        <v>0</v>
      </c>
      <c r="P37" s="298">
        <f>SUBTOTAL(9,P27:P36)</f>
        <v>0</v>
      </c>
      <c r="Q37" s="298">
        <f>SUBTOTAL(9,Q27:Q36)</f>
        <v>0</v>
      </c>
      <c r="R37" s="299"/>
      <c r="S37" s="299"/>
      <c r="T37" s="300"/>
    </row>
    <row r="38" spans="1:22" ht="15.75" customHeight="1" thickTop="1" x14ac:dyDescent="0.25">
      <c r="A38" t="s">
        <v>1193</v>
      </c>
      <c r="O38"/>
      <c r="P38"/>
      <c r="U38" s="266"/>
      <c r="V38" s="266"/>
    </row>
    <row r="39" spans="1:22" x14ac:dyDescent="0.25">
      <c r="O39"/>
      <c r="P39"/>
      <c r="U39" s="266"/>
      <c r="V39" s="266"/>
    </row>
    <row r="40" spans="1:22" x14ac:dyDescent="0.25">
      <c r="B40" s="284" t="s">
        <v>1194</v>
      </c>
      <c r="O40"/>
      <c r="P40"/>
      <c r="U40" s="266"/>
      <c r="V40" s="266"/>
    </row>
    <row r="41" spans="1:22" x14ac:dyDescent="0.25">
      <c r="B41" s="286" t="s">
        <v>1195</v>
      </c>
      <c r="O41"/>
      <c r="P41"/>
      <c r="S41" s="266"/>
      <c r="T41" s="266"/>
    </row>
    <row r="42" spans="1:22" x14ac:dyDescent="0.25">
      <c r="B42" s="73" t="s">
        <v>1196</v>
      </c>
      <c r="N42" s="219"/>
      <c r="O42"/>
      <c r="P42"/>
      <c r="S42" s="266"/>
      <c r="T42" s="266"/>
    </row>
    <row r="43" spans="1:22" x14ac:dyDescent="0.25">
      <c r="N43" s="219"/>
      <c r="O43"/>
      <c r="P43"/>
      <c r="S43" s="266"/>
      <c r="T43" s="266"/>
    </row>
    <row r="44" spans="1:22" ht="15.75" customHeight="1" thickBot="1" x14ac:dyDescent="0.3">
      <c r="B44" s="37" t="s">
        <v>1197</v>
      </c>
      <c r="C44" s="37"/>
      <c r="O44"/>
      <c r="P44"/>
      <c r="S44" s="266"/>
      <c r="T44" s="266"/>
    </row>
    <row r="45" spans="1:22" x14ac:dyDescent="0.25">
      <c r="B45" t="s">
        <v>1198</v>
      </c>
      <c r="C45" s="265"/>
      <c r="O45"/>
      <c r="P45"/>
      <c r="S45" s="266"/>
      <c r="T45" s="266"/>
    </row>
    <row r="46" spans="1:22" x14ac:dyDescent="0.25">
      <c r="B46" t="s">
        <v>1199</v>
      </c>
      <c r="C46" s="301"/>
      <c r="O46"/>
      <c r="P46"/>
      <c r="S46" s="266"/>
      <c r="T46" s="266"/>
    </row>
    <row r="47" spans="1:22" x14ac:dyDescent="0.25">
      <c r="B47" t="s">
        <v>1200</v>
      </c>
      <c r="C47" s="302"/>
    </row>
    <row r="48" spans="1:22" ht="15.75" customHeight="1" thickBot="1" x14ac:dyDescent="0.3">
      <c r="O48"/>
      <c r="P48"/>
    </row>
    <row r="49" spans="1:22" ht="27.75" customHeight="1" thickTop="1" thickBot="1" x14ac:dyDescent="0.45">
      <c r="A49" s="38" t="s">
        <v>111</v>
      </c>
      <c r="B49" s="39">
        <v>2011</v>
      </c>
      <c r="O49"/>
      <c r="P49"/>
    </row>
    <row r="50" spans="1:22" s="235" customFormat="1" ht="65.25" customHeight="1" thickTop="1" thickBot="1" x14ac:dyDescent="0.25">
      <c r="A50" s="69" t="s">
        <v>11</v>
      </c>
      <c r="B50" s="70" t="s">
        <v>17</v>
      </c>
      <c r="C50" s="70" t="s">
        <v>1157</v>
      </c>
      <c r="D50" s="70" t="s">
        <v>1158</v>
      </c>
      <c r="E50" s="70" t="s">
        <v>1159</v>
      </c>
      <c r="F50" s="70" t="s">
        <v>136</v>
      </c>
      <c r="G50" s="70" t="s">
        <v>1160</v>
      </c>
      <c r="H50" s="71" t="s">
        <v>1165</v>
      </c>
      <c r="I50" s="71"/>
      <c r="J50" s="71" t="s">
        <v>1201</v>
      </c>
      <c r="K50" s="71" t="s">
        <v>1164</v>
      </c>
      <c r="L50" s="71" t="s">
        <v>1165</v>
      </c>
      <c r="M50" s="71" t="s">
        <v>144</v>
      </c>
      <c r="N50" s="71" t="s">
        <v>150</v>
      </c>
      <c r="O50" s="267" t="s">
        <v>1166</v>
      </c>
      <c r="P50" s="268" t="s">
        <v>1167</v>
      </c>
      <c r="Q50" s="268" t="s">
        <v>1168</v>
      </c>
      <c r="R50" s="269" t="s">
        <v>1169</v>
      </c>
      <c r="S50" s="269" t="s">
        <v>1170</v>
      </c>
      <c r="T50" s="270" t="s">
        <v>1171</v>
      </c>
    </row>
    <row r="51" spans="1:22" x14ac:dyDescent="0.25">
      <c r="A51" s="271" t="s">
        <v>1172</v>
      </c>
      <c r="B51" s="272"/>
      <c r="C51" s="273" t="s">
        <v>1173</v>
      </c>
      <c r="D51" s="274"/>
      <c r="E51" s="275"/>
      <c r="F51" s="275"/>
      <c r="G51" s="275"/>
      <c r="H51" s="275"/>
      <c r="I51" s="275"/>
      <c r="J51" s="276"/>
      <c r="K51" s="72">
        <f t="shared" ref="K51:K60" si="18">IF(T51=TRUE,F51,0)</f>
        <v>0</v>
      </c>
      <c r="L51" s="73">
        <f t="shared" ref="L51:L60" si="19">IF(T51=TRUE,S51-R51,0)</f>
        <v>0</v>
      </c>
      <c r="M51" s="74">
        <f t="shared" ref="M51:M60" si="20">IF(T51=TRUE,G51/F51,0)</f>
        <v>0</v>
      </c>
      <c r="N51" s="74">
        <f t="shared" ref="N51:N60" si="21">IF(T51=TRUE,(G51*100000)/(F51*L51*C$71),0)</f>
        <v>0</v>
      </c>
      <c r="O51" s="277">
        <f t="shared" ref="O51:O60" si="22">IF(T51=TRUE,K51/K$61,0)</f>
        <v>0</v>
      </c>
      <c r="P51" s="278">
        <f t="shared" ref="P51:P60" si="23">M51*O51</f>
        <v>0</v>
      </c>
      <c r="Q51" s="278">
        <f t="shared" ref="Q51:Q60" si="24">N51*O51</f>
        <v>0</v>
      </c>
      <c r="R51" s="279">
        <f t="shared" ref="R51:R60" si="25">IF(J51&gt;1,J51,C$69+C$70)</f>
        <v>0</v>
      </c>
      <c r="S51" s="279">
        <f t="shared" ref="S51:S60" si="26">IF(I51&gt;1,I51,C$69+H51)</f>
        <v>0</v>
      </c>
      <c r="T51" s="280" t="b">
        <v>0</v>
      </c>
    </row>
    <row r="52" spans="1:22" x14ac:dyDescent="0.25">
      <c r="A52" s="281" t="s">
        <v>1174</v>
      </c>
      <c r="B52" s="282"/>
      <c r="C52" s="283" t="s">
        <v>1175</v>
      </c>
      <c r="D52" s="284"/>
      <c r="E52" s="285"/>
      <c r="F52" s="285"/>
      <c r="G52" s="285"/>
      <c r="H52" s="285"/>
      <c r="I52" s="285"/>
      <c r="J52" s="285"/>
      <c r="K52" s="73">
        <f t="shared" si="18"/>
        <v>0</v>
      </c>
      <c r="L52" s="73">
        <f t="shared" si="19"/>
        <v>0</v>
      </c>
      <c r="M52" s="74">
        <f t="shared" si="20"/>
        <v>0</v>
      </c>
      <c r="N52" s="74">
        <f t="shared" si="21"/>
        <v>0</v>
      </c>
      <c r="O52" s="277">
        <f t="shared" si="22"/>
        <v>0</v>
      </c>
      <c r="P52" s="278">
        <f t="shared" si="23"/>
        <v>0</v>
      </c>
      <c r="Q52" s="287">
        <f t="shared" si="24"/>
        <v>0</v>
      </c>
      <c r="R52" s="279">
        <f t="shared" si="25"/>
        <v>0</v>
      </c>
      <c r="S52" s="279">
        <f t="shared" si="26"/>
        <v>0</v>
      </c>
      <c r="T52" s="288" t="b">
        <v>0</v>
      </c>
    </row>
    <row r="53" spans="1:22" x14ac:dyDescent="0.25">
      <c r="A53" s="281" t="s">
        <v>1176</v>
      </c>
      <c r="B53" s="282"/>
      <c r="C53" s="283" t="s">
        <v>1177</v>
      </c>
      <c r="D53" s="284"/>
      <c r="E53" s="285"/>
      <c r="F53" s="285"/>
      <c r="G53" s="285"/>
      <c r="H53" s="285"/>
      <c r="I53" s="285"/>
      <c r="J53" s="285"/>
      <c r="K53" s="73">
        <f t="shared" si="18"/>
        <v>0</v>
      </c>
      <c r="L53" s="73">
        <f t="shared" si="19"/>
        <v>0</v>
      </c>
      <c r="M53" s="74">
        <f t="shared" si="20"/>
        <v>0</v>
      </c>
      <c r="N53" s="74">
        <f t="shared" si="21"/>
        <v>0</v>
      </c>
      <c r="O53" s="277">
        <f t="shared" si="22"/>
        <v>0</v>
      </c>
      <c r="P53" s="278">
        <f t="shared" si="23"/>
        <v>0</v>
      </c>
      <c r="Q53" s="287">
        <f t="shared" si="24"/>
        <v>0</v>
      </c>
      <c r="R53" s="279">
        <f t="shared" si="25"/>
        <v>0</v>
      </c>
      <c r="S53" s="279">
        <f t="shared" si="26"/>
        <v>0</v>
      </c>
      <c r="T53" s="288" t="b">
        <v>0</v>
      </c>
    </row>
    <row r="54" spans="1:22" x14ac:dyDescent="0.25">
      <c r="A54" s="281" t="s">
        <v>1178</v>
      </c>
      <c r="B54" s="282"/>
      <c r="C54" s="283" t="s">
        <v>1179</v>
      </c>
      <c r="D54" s="284"/>
      <c r="E54" s="285"/>
      <c r="F54" s="285"/>
      <c r="G54" s="285"/>
      <c r="H54" s="285"/>
      <c r="I54" s="285"/>
      <c r="J54" s="285"/>
      <c r="K54" s="73">
        <f t="shared" si="18"/>
        <v>0</v>
      </c>
      <c r="L54" s="73">
        <f t="shared" si="19"/>
        <v>0</v>
      </c>
      <c r="M54" s="74">
        <f t="shared" si="20"/>
        <v>0</v>
      </c>
      <c r="N54" s="74">
        <f t="shared" si="21"/>
        <v>0</v>
      </c>
      <c r="O54" s="277">
        <f t="shared" si="22"/>
        <v>0</v>
      </c>
      <c r="P54" s="278">
        <f t="shared" si="23"/>
        <v>0</v>
      </c>
      <c r="Q54" s="287">
        <f t="shared" si="24"/>
        <v>0</v>
      </c>
      <c r="R54" s="279">
        <f t="shared" si="25"/>
        <v>0</v>
      </c>
      <c r="S54" s="279">
        <f t="shared" si="26"/>
        <v>0</v>
      </c>
      <c r="T54" s="288" t="b">
        <v>0</v>
      </c>
    </row>
    <row r="55" spans="1:22" x14ac:dyDescent="0.25">
      <c r="A55" s="281" t="s">
        <v>1180</v>
      </c>
      <c r="B55" s="282"/>
      <c r="C55" s="283" t="s">
        <v>1181</v>
      </c>
      <c r="D55" s="284"/>
      <c r="E55" s="285"/>
      <c r="F55" s="285"/>
      <c r="G55" s="285"/>
      <c r="H55" s="285"/>
      <c r="I55" s="285"/>
      <c r="J55" s="285"/>
      <c r="K55" s="73">
        <f t="shared" si="18"/>
        <v>0</v>
      </c>
      <c r="L55" s="73">
        <f t="shared" si="19"/>
        <v>0</v>
      </c>
      <c r="M55" s="74">
        <f t="shared" si="20"/>
        <v>0</v>
      </c>
      <c r="N55" s="74">
        <f t="shared" si="21"/>
        <v>0</v>
      </c>
      <c r="O55" s="277">
        <f t="shared" si="22"/>
        <v>0</v>
      </c>
      <c r="P55" s="278">
        <f t="shared" si="23"/>
        <v>0</v>
      </c>
      <c r="Q55" s="287">
        <f t="shared" si="24"/>
        <v>0</v>
      </c>
      <c r="R55" s="279">
        <f t="shared" si="25"/>
        <v>0</v>
      </c>
      <c r="S55" s="279">
        <f t="shared" si="26"/>
        <v>0</v>
      </c>
      <c r="T55" s="288" t="b">
        <v>0</v>
      </c>
    </row>
    <row r="56" spans="1:22" x14ac:dyDescent="0.25">
      <c r="A56" s="281" t="s">
        <v>1182</v>
      </c>
      <c r="B56" s="282"/>
      <c r="C56" s="283" t="s">
        <v>1183</v>
      </c>
      <c r="D56" s="284"/>
      <c r="E56" s="285"/>
      <c r="F56" s="285"/>
      <c r="G56" s="285"/>
      <c r="H56" s="285"/>
      <c r="I56" s="285"/>
      <c r="J56" s="285"/>
      <c r="K56" s="73">
        <f t="shared" si="18"/>
        <v>0</v>
      </c>
      <c r="L56" s="73">
        <f t="shared" si="19"/>
        <v>0</v>
      </c>
      <c r="M56" s="74">
        <f t="shared" si="20"/>
        <v>0</v>
      </c>
      <c r="N56" s="74">
        <f t="shared" si="21"/>
        <v>0</v>
      </c>
      <c r="O56" s="277">
        <f t="shared" si="22"/>
        <v>0</v>
      </c>
      <c r="P56" s="278">
        <f t="shared" si="23"/>
        <v>0</v>
      </c>
      <c r="Q56" s="287">
        <f t="shared" si="24"/>
        <v>0</v>
      </c>
      <c r="R56" s="279">
        <f t="shared" si="25"/>
        <v>0</v>
      </c>
      <c r="S56" s="279">
        <f t="shared" si="26"/>
        <v>0</v>
      </c>
      <c r="T56" s="288" t="b">
        <v>0</v>
      </c>
    </row>
    <row r="57" spans="1:22" x14ac:dyDescent="0.25">
      <c r="A57" s="281" t="s">
        <v>1184</v>
      </c>
      <c r="B57" s="282"/>
      <c r="C57" s="283" t="s">
        <v>1185</v>
      </c>
      <c r="D57" s="284"/>
      <c r="E57" s="285"/>
      <c r="F57" s="285"/>
      <c r="G57" s="285"/>
      <c r="H57" s="285"/>
      <c r="I57" s="285"/>
      <c r="J57" s="285"/>
      <c r="K57" s="73">
        <f t="shared" si="18"/>
        <v>0</v>
      </c>
      <c r="L57" s="73">
        <f t="shared" si="19"/>
        <v>0</v>
      </c>
      <c r="M57" s="74">
        <f t="shared" si="20"/>
        <v>0</v>
      </c>
      <c r="N57" s="74">
        <f t="shared" si="21"/>
        <v>0</v>
      </c>
      <c r="O57" s="277">
        <f t="shared" si="22"/>
        <v>0</v>
      </c>
      <c r="P57" s="278">
        <f t="shared" si="23"/>
        <v>0</v>
      </c>
      <c r="Q57" s="287">
        <f t="shared" si="24"/>
        <v>0</v>
      </c>
      <c r="R57" s="279">
        <f t="shared" si="25"/>
        <v>0</v>
      </c>
      <c r="S57" s="279">
        <f t="shared" si="26"/>
        <v>0</v>
      </c>
      <c r="T57" s="288" t="b">
        <v>0</v>
      </c>
    </row>
    <row r="58" spans="1:22" x14ac:dyDescent="0.25">
      <c r="A58" s="281" t="s">
        <v>1186</v>
      </c>
      <c r="B58" s="282"/>
      <c r="C58" s="283" t="s">
        <v>1187</v>
      </c>
      <c r="D58" s="284"/>
      <c r="E58" s="285"/>
      <c r="F58" s="285"/>
      <c r="G58" s="285"/>
      <c r="H58" s="285"/>
      <c r="I58" s="285"/>
      <c r="J58" s="285"/>
      <c r="K58" s="73">
        <f t="shared" si="18"/>
        <v>0</v>
      </c>
      <c r="L58" s="73">
        <f t="shared" si="19"/>
        <v>0</v>
      </c>
      <c r="M58" s="74">
        <f t="shared" si="20"/>
        <v>0</v>
      </c>
      <c r="N58" s="74">
        <f t="shared" si="21"/>
        <v>0</v>
      </c>
      <c r="O58" s="277">
        <f t="shared" si="22"/>
        <v>0</v>
      </c>
      <c r="P58" s="278">
        <f t="shared" si="23"/>
        <v>0</v>
      </c>
      <c r="Q58" s="287">
        <f t="shared" si="24"/>
        <v>0</v>
      </c>
      <c r="R58" s="279">
        <f t="shared" si="25"/>
        <v>0</v>
      </c>
      <c r="S58" s="279">
        <f t="shared" si="26"/>
        <v>0</v>
      </c>
      <c r="T58" s="288" t="b">
        <v>0</v>
      </c>
    </row>
    <row r="59" spans="1:22" x14ac:dyDescent="0.25">
      <c r="A59" s="281" t="s">
        <v>1188</v>
      </c>
      <c r="B59" s="282"/>
      <c r="C59" s="283" t="s">
        <v>1189</v>
      </c>
      <c r="D59" s="284"/>
      <c r="E59" s="285"/>
      <c r="F59" s="285"/>
      <c r="G59" s="285"/>
      <c r="H59" s="285"/>
      <c r="I59" s="285"/>
      <c r="J59" s="285"/>
      <c r="K59" s="73">
        <f t="shared" si="18"/>
        <v>0</v>
      </c>
      <c r="L59" s="73">
        <f t="shared" si="19"/>
        <v>0</v>
      </c>
      <c r="M59" s="74">
        <f t="shared" si="20"/>
        <v>0</v>
      </c>
      <c r="N59" s="74">
        <f t="shared" si="21"/>
        <v>0</v>
      </c>
      <c r="O59" s="277">
        <f t="shared" si="22"/>
        <v>0</v>
      </c>
      <c r="P59" s="278">
        <f t="shared" si="23"/>
        <v>0</v>
      </c>
      <c r="Q59" s="287">
        <f t="shared" si="24"/>
        <v>0</v>
      </c>
      <c r="R59" s="279">
        <f t="shared" si="25"/>
        <v>0</v>
      </c>
      <c r="S59" s="279">
        <f t="shared" si="26"/>
        <v>0</v>
      </c>
      <c r="T59" s="288" t="b">
        <v>0</v>
      </c>
    </row>
    <row r="60" spans="1:22" ht="15.75" customHeight="1" thickBot="1" x14ac:dyDescent="0.3">
      <c r="A60" s="289" t="s">
        <v>1190</v>
      </c>
      <c r="B60" s="290"/>
      <c r="C60" s="291" t="s">
        <v>1191</v>
      </c>
      <c r="D60" s="292"/>
      <c r="E60" s="293"/>
      <c r="F60" s="293"/>
      <c r="G60" s="293"/>
      <c r="H60" s="293"/>
      <c r="I60" s="293"/>
      <c r="J60" s="293"/>
      <c r="K60" s="76">
        <f t="shared" si="18"/>
        <v>0</v>
      </c>
      <c r="L60" s="73">
        <f t="shared" si="19"/>
        <v>0</v>
      </c>
      <c r="M60" s="74">
        <f t="shared" si="20"/>
        <v>0</v>
      </c>
      <c r="N60" s="74">
        <f t="shared" si="21"/>
        <v>0</v>
      </c>
      <c r="O60" s="277">
        <f t="shared" si="22"/>
        <v>0</v>
      </c>
      <c r="P60" s="278">
        <f t="shared" si="23"/>
        <v>0</v>
      </c>
      <c r="Q60" s="295">
        <f t="shared" si="24"/>
        <v>0</v>
      </c>
      <c r="R60" s="279">
        <f t="shared" si="25"/>
        <v>0</v>
      </c>
      <c r="S60" s="279">
        <f t="shared" si="26"/>
        <v>0</v>
      </c>
      <c r="T60" s="296" t="b">
        <v>0</v>
      </c>
    </row>
    <row r="61" spans="1:22" s="212" customFormat="1" ht="15.75" customHeight="1" thickBot="1" x14ac:dyDescent="0.3">
      <c r="A61" s="35" t="s">
        <v>1192</v>
      </c>
      <c r="B61" s="78"/>
      <c r="C61" s="36" t="s">
        <v>72</v>
      </c>
      <c r="D61" s="36"/>
      <c r="E61" s="36"/>
      <c r="F61" s="36">
        <f>SUBTOTAL(9,F51:F60)</f>
        <v>0</v>
      </c>
      <c r="G61" s="36">
        <f>SUBTOTAL(9,G51:G60)</f>
        <v>0</v>
      </c>
      <c r="H61" s="36"/>
      <c r="I61" s="36"/>
      <c r="J61" s="36"/>
      <c r="K61" s="36">
        <f>SUBTOTAL(9,K51:K60)</f>
        <v>0</v>
      </c>
      <c r="L61" s="36">
        <f>SUBTOTAL(9,L51:L60)</f>
        <v>0</v>
      </c>
      <c r="M61" s="79">
        <f>P61</f>
        <v>0</v>
      </c>
      <c r="N61" s="79">
        <f>Q61</f>
        <v>0</v>
      </c>
      <c r="O61" s="297">
        <f>SUBTOTAL(9,O51:O60)</f>
        <v>0</v>
      </c>
      <c r="P61" s="298">
        <f>SUBTOTAL(9,P51:P60)</f>
        <v>0</v>
      </c>
      <c r="Q61" s="298">
        <f>SUBTOTAL(9,Q51:Q60)</f>
        <v>0</v>
      </c>
      <c r="R61" s="299"/>
      <c r="S61" s="299"/>
      <c r="T61" s="300"/>
    </row>
    <row r="62" spans="1:22" ht="15.75" customHeight="1" thickTop="1" x14ac:dyDescent="0.25">
      <c r="A62" t="s">
        <v>1193</v>
      </c>
      <c r="O62"/>
      <c r="P62"/>
      <c r="U62" s="266"/>
      <c r="V62" s="266"/>
    </row>
    <row r="63" spans="1:22" x14ac:dyDescent="0.25">
      <c r="O63"/>
      <c r="P63"/>
      <c r="U63" s="266"/>
      <c r="V63" s="266"/>
    </row>
    <row r="64" spans="1:22" x14ac:dyDescent="0.25">
      <c r="B64" s="284" t="s">
        <v>1194</v>
      </c>
      <c r="O64"/>
      <c r="P64"/>
      <c r="U64" s="266"/>
      <c r="V64" s="266"/>
    </row>
    <row r="65" spans="1:20" x14ac:dyDescent="0.25">
      <c r="B65" s="286" t="s">
        <v>1195</v>
      </c>
      <c r="O65"/>
      <c r="P65"/>
      <c r="S65" s="266"/>
      <c r="T65" s="266"/>
    </row>
    <row r="66" spans="1:20" x14ac:dyDescent="0.25">
      <c r="B66" s="73" t="s">
        <v>1196</v>
      </c>
      <c r="N66" s="219"/>
      <c r="O66"/>
      <c r="P66"/>
      <c r="S66" s="266"/>
      <c r="T66" s="266"/>
    </row>
    <row r="67" spans="1:20" x14ac:dyDescent="0.25">
      <c r="N67" s="219"/>
      <c r="O67"/>
      <c r="P67"/>
      <c r="S67" s="266"/>
      <c r="T67" s="266"/>
    </row>
    <row r="68" spans="1:20" ht="15.75" customHeight="1" thickBot="1" x14ac:dyDescent="0.3">
      <c r="B68" s="37" t="s">
        <v>1197</v>
      </c>
      <c r="C68" s="37"/>
      <c r="O68"/>
      <c r="P68"/>
      <c r="S68" s="266"/>
      <c r="T68" s="266"/>
    </row>
    <row r="69" spans="1:20" x14ac:dyDescent="0.25">
      <c r="B69" t="s">
        <v>1198</v>
      </c>
      <c r="C69" s="265"/>
      <c r="O69"/>
      <c r="P69"/>
      <c r="S69" s="266"/>
      <c r="T69" s="266"/>
    </row>
    <row r="70" spans="1:20" x14ac:dyDescent="0.25">
      <c r="B70" t="s">
        <v>1199</v>
      </c>
      <c r="C70" s="301"/>
      <c r="O70"/>
      <c r="P70"/>
      <c r="S70" s="266"/>
      <c r="T70" s="266"/>
    </row>
    <row r="71" spans="1:20" x14ac:dyDescent="0.25">
      <c r="B71" t="s">
        <v>1200</v>
      </c>
      <c r="C71" s="302"/>
    </row>
    <row r="72" spans="1:20" ht="15.75" customHeight="1" thickBot="1" x14ac:dyDescent="0.3">
      <c r="O72"/>
      <c r="P72"/>
    </row>
    <row r="73" spans="1:20" ht="27.75" customHeight="1" thickTop="1" thickBot="1" x14ac:dyDescent="0.45">
      <c r="A73" s="38" t="s">
        <v>111</v>
      </c>
      <c r="B73" s="39">
        <v>2012</v>
      </c>
      <c r="O73"/>
      <c r="P73"/>
    </row>
    <row r="74" spans="1:20" s="235" customFormat="1" ht="65.25" customHeight="1" thickTop="1" thickBot="1" x14ac:dyDescent="0.25">
      <c r="A74" s="69" t="s">
        <v>11</v>
      </c>
      <c r="B74" s="70" t="s">
        <v>17</v>
      </c>
      <c r="C74" s="70" t="s">
        <v>1157</v>
      </c>
      <c r="D74" s="70" t="s">
        <v>1158</v>
      </c>
      <c r="E74" s="70" t="s">
        <v>1159</v>
      </c>
      <c r="F74" s="70" t="s">
        <v>136</v>
      </c>
      <c r="G74" s="70" t="s">
        <v>1160</v>
      </c>
      <c r="H74" s="71" t="s">
        <v>1165</v>
      </c>
      <c r="I74" s="71"/>
      <c r="J74" s="71" t="s">
        <v>1201</v>
      </c>
      <c r="K74" s="71" t="s">
        <v>1164</v>
      </c>
      <c r="L74" s="71" t="s">
        <v>1165</v>
      </c>
      <c r="M74" s="71" t="s">
        <v>144</v>
      </c>
      <c r="N74" s="71" t="s">
        <v>150</v>
      </c>
      <c r="O74" s="267" t="s">
        <v>1166</v>
      </c>
      <c r="P74" s="268" t="s">
        <v>1167</v>
      </c>
      <c r="Q74" s="268" t="s">
        <v>1168</v>
      </c>
      <c r="R74" s="269" t="s">
        <v>1169</v>
      </c>
      <c r="S74" s="269" t="s">
        <v>1170</v>
      </c>
      <c r="T74" s="270" t="s">
        <v>1171</v>
      </c>
    </row>
    <row r="75" spans="1:20" x14ac:dyDescent="0.25">
      <c r="A75" s="271" t="s">
        <v>1172</v>
      </c>
      <c r="B75" s="272"/>
      <c r="C75" s="273" t="s">
        <v>1173</v>
      </c>
      <c r="D75" s="274"/>
      <c r="E75" s="275"/>
      <c r="F75" s="275"/>
      <c r="G75" s="275"/>
      <c r="H75" s="275"/>
      <c r="I75" s="275"/>
      <c r="J75" s="276"/>
      <c r="K75" s="72">
        <f t="shared" ref="K75:K84" si="27">IF(T75=TRUE,F75,0)</f>
        <v>0</v>
      </c>
      <c r="L75" s="73">
        <f t="shared" ref="L75:L84" si="28">IF(T75=TRUE,S75-R75,0)</f>
        <v>0</v>
      </c>
      <c r="M75" s="74">
        <f t="shared" ref="M75:M84" si="29">IF(T75=TRUE,G75/F75,0)</f>
        <v>0</v>
      </c>
      <c r="N75" s="74">
        <f t="shared" ref="N75:N84" si="30">IF(T75=TRUE,(G75*100000)/(F75*L75*C$95),0)</f>
        <v>0</v>
      </c>
      <c r="O75" s="277">
        <f t="shared" ref="O75:O84" si="31">IF(T75=TRUE,K75/K$85,0)</f>
        <v>0</v>
      </c>
      <c r="P75" s="278">
        <f t="shared" ref="P75:P84" si="32">M75*O75</f>
        <v>0</v>
      </c>
      <c r="Q75" s="278">
        <f t="shared" ref="Q75:Q84" si="33">N75*O75</f>
        <v>0</v>
      </c>
      <c r="R75" s="279">
        <f t="shared" ref="R75:R84" si="34">IF(J75&gt;1,J75,C$93+C$94)</f>
        <v>0</v>
      </c>
      <c r="S75" s="279">
        <f t="shared" ref="S75:S84" si="35">IF(I75&gt;1,I75,C$93+H75)</f>
        <v>0</v>
      </c>
      <c r="T75" s="280" t="b">
        <v>0</v>
      </c>
    </row>
    <row r="76" spans="1:20" x14ac:dyDescent="0.25">
      <c r="A76" s="281" t="s">
        <v>1174</v>
      </c>
      <c r="B76" s="282"/>
      <c r="C76" s="283" t="s">
        <v>1175</v>
      </c>
      <c r="D76" s="284"/>
      <c r="E76" s="285"/>
      <c r="F76" s="285"/>
      <c r="G76" s="285"/>
      <c r="H76" s="285"/>
      <c r="I76" s="285"/>
      <c r="J76" s="285"/>
      <c r="K76" s="73">
        <f t="shared" si="27"/>
        <v>0</v>
      </c>
      <c r="L76" s="73">
        <f t="shared" si="28"/>
        <v>0</v>
      </c>
      <c r="M76" s="74">
        <f t="shared" si="29"/>
        <v>0</v>
      </c>
      <c r="N76" s="74">
        <f t="shared" si="30"/>
        <v>0</v>
      </c>
      <c r="O76" s="277">
        <f t="shared" si="31"/>
        <v>0</v>
      </c>
      <c r="P76" s="278">
        <f t="shared" si="32"/>
        <v>0</v>
      </c>
      <c r="Q76" s="287">
        <f t="shared" si="33"/>
        <v>0</v>
      </c>
      <c r="R76" s="279">
        <f t="shared" si="34"/>
        <v>0</v>
      </c>
      <c r="S76" s="279">
        <f t="shared" si="35"/>
        <v>0</v>
      </c>
      <c r="T76" s="288" t="b">
        <v>0</v>
      </c>
    </row>
    <row r="77" spans="1:20" x14ac:dyDescent="0.25">
      <c r="A77" s="281" t="s">
        <v>1176</v>
      </c>
      <c r="B77" s="282"/>
      <c r="C77" s="283" t="s">
        <v>1177</v>
      </c>
      <c r="D77" s="284"/>
      <c r="E77" s="285"/>
      <c r="F77" s="285"/>
      <c r="G77" s="285"/>
      <c r="H77" s="285"/>
      <c r="I77" s="285"/>
      <c r="J77" s="285"/>
      <c r="K77" s="73">
        <f t="shared" si="27"/>
        <v>0</v>
      </c>
      <c r="L77" s="73">
        <f t="shared" si="28"/>
        <v>0</v>
      </c>
      <c r="M77" s="74">
        <f t="shared" si="29"/>
        <v>0</v>
      </c>
      <c r="N77" s="74">
        <f t="shared" si="30"/>
        <v>0</v>
      </c>
      <c r="O77" s="277">
        <f t="shared" si="31"/>
        <v>0</v>
      </c>
      <c r="P77" s="278">
        <f t="shared" si="32"/>
        <v>0</v>
      </c>
      <c r="Q77" s="287">
        <f t="shared" si="33"/>
        <v>0</v>
      </c>
      <c r="R77" s="279">
        <f t="shared" si="34"/>
        <v>0</v>
      </c>
      <c r="S77" s="279">
        <f t="shared" si="35"/>
        <v>0</v>
      </c>
      <c r="T77" s="288" t="b">
        <v>0</v>
      </c>
    </row>
    <row r="78" spans="1:20" x14ac:dyDescent="0.25">
      <c r="A78" s="281" t="s">
        <v>1178</v>
      </c>
      <c r="B78" s="282"/>
      <c r="C78" s="283" t="s">
        <v>1179</v>
      </c>
      <c r="D78" s="284"/>
      <c r="E78" s="285"/>
      <c r="F78" s="285"/>
      <c r="G78" s="285"/>
      <c r="H78" s="285"/>
      <c r="I78" s="285"/>
      <c r="J78" s="285"/>
      <c r="K78" s="73">
        <f t="shared" si="27"/>
        <v>0</v>
      </c>
      <c r="L78" s="73">
        <f t="shared" si="28"/>
        <v>0</v>
      </c>
      <c r="M78" s="74">
        <f t="shared" si="29"/>
        <v>0</v>
      </c>
      <c r="N78" s="74">
        <f t="shared" si="30"/>
        <v>0</v>
      </c>
      <c r="O78" s="277">
        <f t="shared" si="31"/>
        <v>0</v>
      </c>
      <c r="P78" s="278">
        <f t="shared" si="32"/>
        <v>0</v>
      </c>
      <c r="Q78" s="287">
        <f t="shared" si="33"/>
        <v>0</v>
      </c>
      <c r="R78" s="279">
        <f t="shared" si="34"/>
        <v>0</v>
      </c>
      <c r="S78" s="279">
        <f t="shared" si="35"/>
        <v>0</v>
      </c>
      <c r="T78" s="288" t="b">
        <v>0</v>
      </c>
    </row>
    <row r="79" spans="1:20" x14ac:dyDescent="0.25">
      <c r="A79" s="281" t="s">
        <v>1180</v>
      </c>
      <c r="B79" s="282"/>
      <c r="C79" s="283" t="s">
        <v>1181</v>
      </c>
      <c r="D79" s="284"/>
      <c r="E79" s="285"/>
      <c r="F79" s="285"/>
      <c r="G79" s="285"/>
      <c r="H79" s="285"/>
      <c r="I79" s="285"/>
      <c r="J79" s="285"/>
      <c r="K79" s="73">
        <f t="shared" si="27"/>
        <v>0</v>
      </c>
      <c r="L79" s="73">
        <f t="shared" si="28"/>
        <v>0</v>
      </c>
      <c r="M79" s="74">
        <f t="shared" si="29"/>
        <v>0</v>
      </c>
      <c r="N79" s="74">
        <f t="shared" si="30"/>
        <v>0</v>
      </c>
      <c r="O79" s="277">
        <f t="shared" si="31"/>
        <v>0</v>
      </c>
      <c r="P79" s="278">
        <f t="shared" si="32"/>
        <v>0</v>
      </c>
      <c r="Q79" s="287">
        <f t="shared" si="33"/>
        <v>0</v>
      </c>
      <c r="R79" s="279">
        <f t="shared" si="34"/>
        <v>0</v>
      </c>
      <c r="S79" s="279">
        <f t="shared" si="35"/>
        <v>0</v>
      </c>
      <c r="T79" s="288" t="b">
        <v>0</v>
      </c>
    </row>
    <row r="80" spans="1:20" x14ac:dyDescent="0.25">
      <c r="A80" s="281" t="s">
        <v>1182</v>
      </c>
      <c r="B80" s="282"/>
      <c r="C80" s="283" t="s">
        <v>1183</v>
      </c>
      <c r="D80" s="284"/>
      <c r="E80" s="285"/>
      <c r="F80" s="285"/>
      <c r="G80" s="285"/>
      <c r="H80" s="285"/>
      <c r="I80" s="285"/>
      <c r="J80" s="285"/>
      <c r="K80" s="73">
        <f t="shared" si="27"/>
        <v>0</v>
      </c>
      <c r="L80" s="73">
        <f t="shared" si="28"/>
        <v>0</v>
      </c>
      <c r="M80" s="74">
        <f t="shared" si="29"/>
        <v>0</v>
      </c>
      <c r="N80" s="74">
        <f t="shared" si="30"/>
        <v>0</v>
      </c>
      <c r="O80" s="277">
        <f t="shared" si="31"/>
        <v>0</v>
      </c>
      <c r="P80" s="278">
        <f t="shared" si="32"/>
        <v>0</v>
      </c>
      <c r="Q80" s="287">
        <f t="shared" si="33"/>
        <v>0</v>
      </c>
      <c r="R80" s="279">
        <f t="shared" si="34"/>
        <v>0</v>
      </c>
      <c r="S80" s="279">
        <f t="shared" si="35"/>
        <v>0</v>
      </c>
      <c r="T80" s="288" t="b">
        <v>0</v>
      </c>
    </row>
    <row r="81" spans="1:22" x14ac:dyDescent="0.25">
      <c r="A81" s="281" t="s">
        <v>1184</v>
      </c>
      <c r="B81" s="282"/>
      <c r="C81" s="283" t="s">
        <v>1185</v>
      </c>
      <c r="D81" s="284"/>
      <c r="E81" s="285"/>
      <c r="F81" s="285"/>
      <c r="G81" s="285"/>
      <c r="H81" s="285"/>
      <c r="I81" s="285"/>
      <c r="J81" s="285"/>
      <c r="K81" s="73">
        <f t="shared" si="27"/>
        <v>0</v>
      </c>
      <c r="L81" s="73">
        <f t="shared" si="28"/>
        <v>0</v>
      </c>
      <c r="M81" s="74">
        <f t="shared" si="29"/>
        <v>0</v>
      </c>
      <c r="N81" s="74">
        <f t="shared" si="30"/>
        <v>0</v>
      </c>
      <c r="O81" s="277">
        <f t="shared" si="31"/>
        <v>0</v>
      </c>
      <c r="P81" s="278">
        <f t="shared" si="32"/>
        <v>0</v>
      </c>
      <c r="Q81" s="287">
        <f t="shared" si="33"/>
        <v>0</v>
      </c>
      <c r="R81" s="279">
        <f t="shared" si="34"/>
        <v>0</v>
      </c>
      <c r="S81" s="279">
        <f t="shared" si="35"/>
        <v>0</v>
      </c>
      <c r="T81" s="288" t="b">
        <v>0</v>
      </c>
    </row>
    <row r="82" spans="1:22" x14ac:dyDescent="0.25">
      <c r="A82" s="281" t="s">
        <v>1186</v>
      </c>
      <c r="B82" s="282"/>
      <c r="C82" s="283" t="s">
        <v>1187</v>
      </c>
      <c r="D82" s="284"/>
      <c r="E82" s="285"/>
      <c r="F82" s="285"/>
      <c r="G82" s="285"/>
      <c r="H82" s="285"/>
      <c r="I82" s="285"/>
      <c r="J82" s="285"/>
      <c r="K82" s="73">
        <f t="shared" si="27"/>
        <v>0</v>
      </c>
      <c r="L82" s="73">
        <f t="shared" si="28"/>
        <v>0</v>
      </c>
      <c r="M82" s="74">
        <f t="shared" si="29"/>
        <v>0</v>
      </c>
      <c r="N82" s="74">
        <f t="shared" si="30"/>
        <v>0</v>
      </c>
      <c r="O82" s="277">
        <f t="shared" si="31"/>
        <v>0</v>
      </c>
      <c r="P82" s="278">
        <f t="shared" si="32"/>
        <v>0</v>
      </c>
      <c r="Q82" s="287">
        <f t="shared" si="33"/>
        <v>0</v>
      </c>
      <c r="R82" s="279">
        <f t="shared" si="34"/>
        <v>0</v>
      </c>
      <c r="S82" s="279">
        <f t="shared" si="35"/>
        <v>0</v>
      </c>
      <c r="T82" s="288" t="b">
        <v>0</v>
      </c>
    </row>
    <row r="83" spans="1:22" x14ac:dyDescent="0.25">
      <c r="A83" s="281" t="s">
        <v>1188</v>
      </c>
      <c r="B83" s="282"/>
      <c r="C83" s="283" t="s">
        <v>1189</v>
      </c>
      <c r="D83" s="284"/>
      <c r="E83" s="285"/>
      <c r="F83" s="285"/>
      <c r="G83" s="285"/>
      <c r="H83" s="285"/>
      <c r="I83" s="285"/>
      <c r="J83" s="285"/>
      <c r="K83" s="73">
        <f t="shared" si="27"/>
        <v>0</v>
      </c>
      <c r="L83" s="73">
        <f t="shared" si="28"/>
        <v>0</v>
      </c>
      <c r="M83" s="74">
        <f t="shared" si="29"/>
        <v>0</v>
      </c>
      <c r="N83" s="74">
        <f t="shared" si="30"/>
        <v>0</v>
      </c>
      <c r="O83" s="277">
        <f t="shared" si="31"/>
        <v>0</v>
      </c>
      <c r="P83" s="278">
        <f t="shared" si="32"/>
        <v>0</v>
      </c>
      <c r="Q83" s="287">
        <f t="shared" si="33"/>
        <v>0</v>
      </c>
      <c r="R83" s="279">
        <f t="shared" si="34"/>
        <v>0</v>
      </c>
      <c r="S83" s="279">
        <f t="shared" si="35"/>
        <v>0</v>
      </c>
      <c r="T83" s="288" t="b">
        <v>0</v>
      </c>
    </row>
    <row r="84" spans="1:22" ht="15.75" customHeight="1" thickBot="1" x14ac:dyDescent="0.3">
      <c r="A84" s="289" t="s">
        <v>1190</v>
      </c>
      <c r="B84" s="290"/>
      <c r="C84" s="291" t="s">
        <v>1191</v>
      </c>
      <c r="D84" s="292"/>
      <c r="E84" s="293"/>
      <c r="F84" s="293"/>
      <c r="G84" s="293"/>
      <c r="H84" s="293"/>
      <c r="I84" s="293"/>
      <c r="J84" s="293"/>
      <c r="K84" s="76">
        <f t="shared" si="27"/>
        <v>0</v>
      </c>
      <c r="L84" s="73">
        <f t="shared" si="28"/>
        <v>0</v>
      </c>
      <c r="M84" s="74">
        <f t="shared" si="29"/>
        <v>0</v>
      </c>
      <c r="N84" s="74">
        <f t="shared" si="30"/>
        <v>0</v>
      </c>
      <c r="O84" s="277">
        <f t="shared" si="31"/>
        <v>0</v>
      </c>
      <c r="P84" s="278">
        <f t="shared" si="32"/>
        <v>0</v>
      </c>
      <c r="Q84" s="295">
        <f t="shared" si="33"/>
        <v>0</v>
      </c>
      <c r="R84" s="279">
        <f t="shared" si="34"/>
        <v>0</v>
      </c>
      <c r="S84" s="279">
        <f t="shared" si="35"/>
        <v>0</v>
      </c>
      <c r="T84" s="296" t="b">
        <v>0</v>
      </c>
    </row>
    <row r="85" spans="1:22" s="212" customFormat="1" ht="15.75" customHeight="1" thickBot="1" x14ac:dyDescent="0.3">
      <c r="A85" s="35" t="s">
        <v>1192</v>
      </c>
      <c r="B85" s="78"/>
      <c r="C85" s="36" t="s">
        <v>72</v>
      </c>
      <c r="D85" s="36"/>
      <c r="E85" s="36"/>
      <c r="F85" s="36">
        <f>SUBTOTAL(9,F75:F84)</f>
        <v>0</v>
      </c>
      <c r="G85" s="36">
        <f>SUBTOTAL(9,G75:G84)</f>
        <v>0</v>
      </c>
      <c r="H85" s="36"/>
      <c r="I85" s="36"/>
      <c r="J85" s="36"/>
      <c r="K85" s="36">
        <f>SUBTOTAL(9,K75:K84)</f>
        <v>0</v>
      </c>
      <c r="L85" s="36">
        <f>SUBTOTAL(9,L75:L84)</f>
        <v>0</v>
      </c>
      <c r="M85" s="79">
        <f>P85</f>
        <v>0</v>
      </c>
      <c r="N85" s="79">
        <f>Q85</f>
        <v>0</v>
      </c>
      <c r="O85" s="297">
        <f>SUBTOTAL(9,O75:O84)</f>
        <v>0</v>
      </c>
      <c r="P85" s="298">
        <f>SUBTOTAL(9,P75:P84)</f>
        <v>0</v>
      </c>
      <c r="Q85" s="298">
        <f>SUBTOTAL(9,Q75:Q84)</f>
        <v>0</v>
      </c>
      <c r="R85" s="299"/>
      <c r="S85" s="299"/>
      <c r="T85" s="300"/>
    </row>
    <row r="86" spans="1:22" ht="15.75" customHeight="1" thickTop="1" x14ac:dyDescent="0.25">
      <c r="A86" t="s">
        <v>1193</v>
      </c>
      <c r="O86"/>
      <c r="P86"/>
      <c r="U86" s="266"/>
      <c r="V86" s="266"/>
    </row>
    <row r="87" spans="1:22" x14ac:dyDescent="0.25">
      <c r="O87"/>
      <c r="P87"/>
      <c r="U87" s="266"/>
      <c r="V87" s="266"/>
    </row>
    <row r="88" spans="1:22" x14ac:dyDescent="0.25">
      <c r="B88" s="284" t="s">
        <v>1194</v>
      </c>
      <c r="O88"/>
      <c r="P88"/>
      <c r="U88" s="266"/>
      <c r="V88" s="266"/>
    </row>
    <row r="89" spans="1:22" x14ac:dyDescent="0.25">
      <c r="B89" s="286" t="s">
        <v>1195</v>
      </c>
      <c r="O89"/>
      <c r="P89"/>
      <c r="S89" s="266"/>
      <c r="T89" s="266"/>
    </row>
    <row r="90" spans="1:22" x14ac:dyDescent="0.25">
      <c r="B90" s="73" t="s">
        <v>1196</v>
      </c>
      <c r="N90" s="219"/>
      <c r="O90"/>
      <c r="P90"/>
      <c r="S90" s="266"/>
      <c r="T90" s="266"/>
    </row>
    <row r="91" spans="1:22" x14ac:dyDescent="0.25">
      <c r="N91" s="219"/>
      <c r="O91"/>
      <c r="P91"/>
      <c r="S91" s="266"/>
      <c r="T91" s="266"/>
    </row>
    <row r="92" spans="1:22" ht="15.75" customHeight="1" thickBot="1" x14ac:dyDescent="0.3">
      <c r="B92" s="37" t="s">
        <v>1197</v>
      </c>
      <c r="C92" s="37"/>
      <c r="O92"/>
      <c r="P92"/>
      <c r="S92" s="266"/>
      <c r="T92" s="266"/>
    </row>
    <row r="93" spans="1:22" x14ac:dyDescent="0.25">
      <c r="B93" t="s">
        <v>1198</v>
      </c>
      <c r="C93" s="265"/>
      <c r="O93"/>
      <c r="P93"/>
      <c r="S93" s="266"/>
      <c r="T93" s="266"/>
    </row>
    <row r="94" spans="1:22" x14ac:dyDescent="0.25">
      <c r="B94" t="s">
        <v>1199</v>
      </c>
      <c r="C94" s="301"/>
      <c r="O94"/>
      <c r="P94"/>
      <c r="S94" s="266"/>
      <c r="T94" s="266"/>
    </row>
    <row r="95" spans="1:22" x14ac:dyDescent="0.25">
      <c r="B95" t="s">
        <v>1200</v>
      </c>
      <c r="C95" s="302"/>
    </row>
    <row r="96" spans="1:22" ht="15.75" customHeight="1" thickBot="1" x14ac:dyDescent="0.3">
      <c r="O96"/>
      <c r="P96"/>
    </row>
    <row r="97" spans="1:22" ht="27.75" customHeight="1" thickTop="1" thickBot="1" x14ac:dyDescent="0.45">
      <c r="A97" s="38" t="s">
        <v>111</v>
      </c>
      <c r="B97" s="39">
        <v>2013</v>
      </c>
      <c r="O97"/>
      <c r="P97"/>
    </row>
    <row r="98" spans="1:22" s="235" customFormat="1" ht="65.25" customHeight="1" thickTop="1" thickBot="1" x14ac:dyDescent="0.25">
      <c r="A98" s="69" t="s">
        <v>11</v>
      </c>
      <c r="B98" s="70" t="s">
        <v>17</v>
      </c>
      <c r="C98" s="70" t="s">
        <v>1157</v>
      </c>
      <c r="D98" s="70" t="s">
        <v>1158</v>
      </c>
      <c r="E98" s="70" t="s">
        <v>1159</v>
      </c>
      <c r="F98" s="70" t="s">
        <v>136</v>
      </c>
      <c r="G98" s="70" t="s">
        <v>1160</v>
      </c>
      <c r="H98" s="71" t="s">
        <v>1165</v>
      </c>
      <c r="I98" s="71"/>
      <c r="J98" s="71" t="s">
        <v>1201</v>
      </c>
      <c r="K98" s="71" t="s">
        <v>1164</v>
      </c>
      <c r="L98" s="71" t="s">
        <v>1165</v>
      </c>
      <c r="M98" s="71" t="s">
        <v>144</v>
      </c>
      <c r="N98" s="71" t="s">
        <v>150</v>
      </c>
      <c r="O98" s="267" t="s">
        <v>1166</v>
      </c>
      <c r="P98" s="268" t="s">
        <v>1167</v>
      </c>
      <c r="Q98" s="268" t="s">
        <v>1168</v>
      </c>
      <c r="R98" s="269" t="s">
        <v>1169</v>
      </c>
      <c r="S98" s="269" t="s">
        <v>1170</v>
      </c>
      <c r="T98" s="270" t="s">
        <v>1171</v>
      </c>
    </row>
    <row r="99" spans="1:22" x14ac:dyDescent="0.25">
      <c r="A99" s="271" t="s">
        <v>1172</v>
      </c>
      <c r="B99" s="272"/>
      <c r="C99" s="273" t="s">
        <v>1173</v>
      </c>
      <c r="D99" s="274"/>
      <c r="E99" s="275"/>
      <c r="F99" s="275"/>
      <c r="G99" s="275"/>
      <c r="H99" s="275"/>
      <c r="I99" s="275"/>
      <c r="J99" s="276"/>
      <c r="K99" s="72">
        <f t="shared" ref="K99:K108" si="36">IF(T99=TRUE,F99,0)</f>
        <v>0</v>
      </c>
      <c r="L99" s="73">
        <f t="shared" ref="L99:L108" si="37">IF(T99=TRUE,S99-R99,0)</f>
        <v>0</v>
      </c>
      <c r="M99" s="74">
        <f t="shared" ref="M99:M108" si="38">IF(T99=TRUE,G99/F99,0)</f>
        <v>0</v>
      </c>
      <c r="N99" s="74">
        <f t="shared" ref="N99:N108" si="39">IF(T99=TRUE,(G99*100000)/(F99*L99*C$119),0)</f>
        <v>0</v>
      </c>
      <c r="O99" s="277">
        <f t="shared" ref="O99:O108" si="40">IF(T99=TRUE,K99/K$109,0)</f>
        <v>0</v>
      </c>
      <c r="P99" s="278">
        <f t="shared" ref="P99:P108" si="41">M99*O99</f>
        <v>0</v>
      </c>
      <c r="Q99" s="278">
        <f t="shared" ref="Q99:Q108" si="42">N99*O99</f>
        <v>0</v>
      </c>
      <c r="R99" s="279">
        <f t="shared" ref="R99:R108" si="43">IF(J99&gt;1,J99,C$117+C$118)</f>
        <v>0</v>
      </c>
      <c r="S99" s="279">
        <f t="shared" ref="S99:S108" si="44">IF(I99&gt;1,I99,C$117+H99)</f>
        <v>0</v>
      </c>
      <c r="T99" s="280" t="b">
        <v>0</v>
      </c>
    </row>
    <row r="100" spans="1:22" x14ac:dyDescent="0.25">
      <c r="A100" s="281" t="s">
        <v>1174</v>
      </c>
      <c r="B100" s="282"/>
      <c r="C100" s="283" t="s">
        <v>1175</v>
      </c>
      <c r="D100" s="284"/>
      <c r="E100" s="285"/>
      <c r="F100" s="285"/>
      <c r="G100" s="285"/>
      <c r="H100" s="285"/>
      <c r="I100" s="285"/>
      <c r="J100" s="285"/>
      <c r="K100" s="73">
        <f t="shared" si="36"/>
        <v>0</v>
      </c>
      <c r="L100" s="73">
        <f t="shared" si="37"/>
        <v>0</v>
      </c>
      <c r="M100" s="74">
        <f t="shared" si="38"/>
        <v>0</v>
      </c>
      <c r="N100" s="74">
        <f t="shared" si="39"/>
        <v>0</v>
      </c>
      <c r="O100" s="277">
        <f t="shared" si="40"/>
        <v>0</v>
      </c>
      <c r="P100" s="278">
        <f t="shared" si="41"/>
        <v>0</v>
      </c>
      <c r="Q100" s="287">
        <f t="shared" si="42"/>
        <v>0</v>
      </c>
      <c r="R100" s="279">
        <f t="shared" si="43"/>
        <v>0</v>
      </c>
      <c r="S100" s="279">
        <f t="shared" si="44"/>
        <v>0</v>
      </c>
      <c r="T100" s="288" t="b">
        <v>0</v>
      </c>
    </row>
    <row r="101" spans="1:22" x14ac:dyDescent="0.25">
      <c r="A101" s="281" t="s">
        <v>1176</v>
      </c>
      <c r="B101" s="282"/>
      <c r="C101" s="283" t="s">
        <v>1177</v>
      </c>
      <c r="D101" s="284"/>
      <c r="E101" s="285"/>
      <c r="F101" s="285"/>
      <c r="G101" s="285"/>
      <c r="H101" s="285"/>
      <c r="I101" s="285"/>
      <c r="J101" s="285"/>
      <c r="K101" s="73">
        <f t="shared" si="36"/>
        <v>0</v>
      </c>
      <c r="L101" s="73">
        <f t="shared" si="37"/>
        <v>0</v>
      </c>
      <c r="M101" s="74">
        <f t="shared" si="38"/>
        <v>0</v>
      </c>
      <c r="N101" s="74">
        <f t="shared" si="39"/>
        <v>0</v>
      </c>
      <c r="O101" s="277">
        <f t="shared" si="40"/>
        <v>0</v>
      </c>
      <c r="P101" s="278">
        <f t="shared" si="41"/>
        <v>0</v>
      </c>
      <c r="Q101" s="287">
        <f t="shared" si="42"/>
        <v>0</v>
      </c>
      <c r="R101" s="279">
        <f t="shared" si="43"/>
        <v>0</v>
      </c>
      <c r="S101" s="279">
        <f t="shared" si="44"/>
        <v>0</v>
      </c>
      <c r="T101" s="288" t="b">
        <v>0</v>
      </c>
    </row>
    <row r="102" spans="1:22" x14ac:dyDescent="0.25">
      <c r="A102" s="281" t="s">
        <v>1178</v>
      </c>
      <c r="B102" s="282"/>
      <c r="C102" s="283" t="s">
        <v>1179</v>
      </c>
      <c r="D102" s="284"/>
      <c r="E102" s="285"/>
      <c r="F102" s="285"/>
      <c r="G102" s="285"/>
      <c r="H102" s="285"/>
      <c r="I102" s="285"/>
      <c r="J102" s="285"/>
      <c r="K102" s="73">
        <f t="shared" si="36"/>
        <v>0</v>
      </c>
      <c r="L102" s="73">
        <f t="shared" si="37"/>
        <v>0</v>
      </c>
      <c r="M102" s="74">
        <f t="shared" si="38"/>
        <v>0</v>
      </c>
      <c r="N102" s="74">
        <f t="shared" si="39"/>
        <v>0</v>
      </c>
      <c r="O102" s="277">
        <f t="shared" si="40"/>
        <v>0</v>
      </c>
      <c r="P102" s="278">
        <f t="shared" si="41"/>
        <v>0</v>
      </c>
      <c r="Q102" s="287">
        <f t="shared" si="42"/>
        <v>0</v>
      </c>
      <c r="R102" s="279">
        <f t="shared" si="43"/>
        <v>0</v>
      </c>
      <c r="S102" s="279">
        <f t="shared" si="44"/>
        <v>0</v>
      </c>
      <c r="T102" s="288" t="b">
        <v>0</v>
      </c>
    </row>
    <row r="103" spans="1:22" x14ac:dyDescent="0.25">
      <c r="A103" s="281" t="s">
        <v>1180</v>
      </c>
      <c r="B103" s="282"/>
      <c r="C103" s="283" t="s">
        <v>1181</v>
      </c>
      <c r="D103" s="284"/>
      <c r="E103" s="285"/>
      <c r="F103" s="285"/>
      <c r="G103" s="285"/>
      <c r="H103" s="285"/>
      <c r="I103" s="285"/>
      <c r="J103" s="285"/>
      <c r="K103" s="73">
        <f t="shared" si="36"/>
        <v>0</v>
      </c>
      <c r="L103" s="73">
        <f t="shared" si="37"/>
        <v>0</v>
      </c>
      <c r="M103" s="74">
        <f t="shared" si="38"/>
        <v>0</v>
      </c>
      <c r="N103" s="74">
        <f t="shared" si="39"/>
        <v>0</v>
      </c>
      <c r="O103" s="277">
        <f t="shared" si="40"/>
        <v>0</v>
      </c>
      <c r="P103" s="278">
        <f t="shared" si="41"/>
        <v>0</v>
      </c>
      <c r="Q103" s="287">
        <f t="shared" si="42"/>
        <v>0</v>
      </c>
      <c r="R103" s="279">
        <f t="shared" si="43"/>
        <v>0</v>
      </c>
      <c r="S103" s="279">
        <f t="shared" si="44"/>
        <v>0</v>
      </c>
      <c r="T103" s="288" t="b">
        <v>0</v>
      </c>
    </row>
    <row r="104" spans="1:22" x14ac:dyDescent="0.25">
      <c r="A104" s="281" t="s">
        <v>1182</v>
      </c>
      <c r="B104" s="282"/>
      <c r="C104" s="283" t="s">
        <v>1183</v>
      </c>
      <c r="D104" s="284"/>
      <c r="E104" s="285"/>
      <c r="F104" s="285"/>
      <c r="G104" s="285"/>
      <c r="H104" s="285"/>
      <c r="I104" s="285"/>
      <c r="J104" s="285"/>
      <c r="K104" s="73">
        <f t="shared" si="36"/>
        <v>0</v>
      </c>
      <c r="L104" s="73">
        <f t="shared" si="37"/>
        <v>0</v>
      </c>
      <c r="M104" s="74">
        <f t="shared" si="38"/>
        <v>0</v>
      </c>
      <c r="N104" s="74">
        <f t="shared" si="39"/>
        <v>0</v>
      </c>
      <c r="O104" s="277">
        <f t="shared" si="40"/>
        <v>0</v>
      </c>
      <c r="P104" s="278">
        <f t="shared" si="41"/>
        <v>0</v>
      </c>
      <c r="Q104" s="287">
        <f t="shared" si="42"/>
        <v>0</v>
      </c>
      <c r="R104" s="279">
        <f t="shared" si="43"/>
        <v>0</v>
      </c>
      <c r="S104" s="279">
        <f t="shared" si="44"/>
        <v>0</v>
      </c>
      <c r="T104" s="288" t="b">
        <v>0</v>
      </c>
    </row>
    <row r="105" spans="1:22" x14ac:dyDescent="0.25">
      <c r="A105" s="281" t="s">
        <v>1184</v>
      </c>
      <c r="B105" s="282"/>
      <c r="C105" s="283" t="s">
        <v>1185</v>
      </c>
      <c r="D105" s="284"/>
      <c r="E105" s="285"/>
      <c r="F105" s="285"/>
      <c r="G105" s="285"/>
      <c r="H105" s="285"/>
      <c r="I105" s="285"/>
      <c r="J105" s="285"/>
      <c r="K105" s="73">
        <f t="shared" si="36"/>
        <v>0</v>
      </c>
      <c r="L105" s="73">
        <f t="shared" si="37"/>
        <v>0</v>
      </c>
      <c r="M105" s="74">
        <f t="shared" si="38"/>
        <v>0</v>
      </c>
      <c r="N105" s="74">
        <f t="shared" si="39"/>
        <v>0</v>
      </c>
      <c r="O105" s="277">
        <f t="shared" si="40"/>
        <v>0</v>
      </c>
      <c r="P105" s="278">
        <f t="shared" si="41"/>
        <v>0</v>
      </c>
      <c r="Q105" s="287">
        <f t="shared" si="42"/>
        <v>0</v>
      </c>
      <c r="R105" s="279">
        <f t="shared" si="43"/>
        <v>0</v>
      </c>
      <c r="S105" s="279">
        <f t="shared" si="44"/>
        <v>0</v>
      </c>
      <c r="T105" s="288" t="b">
        <v>0</v>
      </c>
    </row>
    <row r="106" spans="1:22" x14ac:dyDescent="0.25">
      <c r="A106" s="281" t="s">
        <v>1186</v>
      </c>
      <c r="B106" s="282"/>
      <c r="C106" s="283" t="s">
        <v>1187</v>
      </c>
      <c r="D106" s="284"/>
      <c r="E106" s="285"/>
      <c r="F106" s="285"/>
      <c r="G106" s="285"/>
      <c r="H106" s="285"/>
      <c r="I106" s="285"/>
      <c r="J106" s="285"/>
      <c r="K106" s="73">
        <f t="shared" si="36"/>
        <v>0</v>
      </c>
      <c r="L106" s="73">
        <f t="shared" si="37"/>
        <v>0</v>
      </c>
      <c r="M106" s="74">
        <f t="shared" si="38"/>
        <v>0</v>
      </c>
      <c r="N106" s="74">
        <f t="shared" si="39"/>
        <v>0</v>
      </c>
      <c r="O106" s="277">
        <f t="shared" si="40"/>
        <v>0</v>
      </c>
      <c r="P106" s="278">
        <f t="shared" si="41"/>
        <v>0</v>
      </c>
      <c r="Q106" s="287">
        <f t="shared" si="42"/>
        <v>0</v>
      </c>
      <c r="R106" s="279">
        <f t="shared" si="43"/>
        <v>0</v>
      </c>
      <c r="S106" s="279">
        <f t="shared" si="44"/>
        <v>0</v>
      </c>
      <c r="T106" s="288" t="b">
        <v>0</v>
      </c>
    </row>
    <row r="107" spans="1:22" x14ac:dyDescent="0.25">
      <c r="A107" s="281" t="s">
        <v>1188</v>
      </c>
      <c r="B107" s="282"/>
      <c r="C107" s="283" t="s">
        <v>1189</v>
      </c>
      <c r="D107" s="284"/>
      <c r="E107" s="285"/>
      <c r="F107" s="285"/>
      <c r="G107" s="285"/>
      <c r="H107" s="285"/>
      <c r="I107" s="285"/>
      <c r="J107" s="285"/>
      <c r="K107" s="73">
        <f t="shared" si="36"/>
        <v>0</v>
      </c>
      <c r="L107" s="73">
        <f t="shared" si="37"/>
        <v>0</v>
      </c>
      <c r="M107" s="74">
        <f t="shared" si="38"/>
        <v>0</v>
      </c>
      <c r="N107" s="74">
        <f t="shared" si="39"/>
        <v>0</v>
      </c>
      <c r="O107" s="277">
        <f t="shared" si="40"/>
        <v>0</v>
      </c>
      <c r="P107" s="278">
        <f t="shared" si="41"/>
        <v>0</v>
      </c>
      <c r="Q107" s="287">
        <f t="shared" si="42"/>
        <v>0</v>
      </c>
      <c r="R107" s="279">
        <f t="shared" si="43"/>
        <v>0</v>
      </c>
      <c r="S107" s="279">
        <f t="shared" si="44"/>
        <v>0</v>
      </c>
      <c r="T107" s="288" t="b">
        <v>0</v>
      </c>
    </row>
    <row r="108" spans="1:22" ht="15.75" customHeight="1" thickBot="1" x14ac:dyDescent="0.3">
      <c r="A108" s="289" t="s">
        <v>1190</v>
      </c>
      <c r="B108" s="290"/>
      <c r="C108" s="291" t="s">
        <v>1191</v>
      </c>
      <c r="D108" s="292"/>
      <c r="E108" s="293"/>
      <c r="F108" s="293"/>
      <c r="G108" s="293"/>
      <c r="H108" s="293"/>
      <c r="I108" s="293"/>
      <c r="J108" s="293"/>
      <c r="K108" s="76">
        <f t="shared" si="36"/>
        <v>0</v>
      </c>
      <c r="L108" s="73">
        <f t="shared" si="37"/>
        <v>0</v>
      </c>
      <c r="M108" s="74">
        <f t="shared" si="38"/>
        <v>0</v>
      </c>
      <c r="N108" s="74">
        <f t="shared" si="39"/>
        <v>0</v>
      </c>
      <c r="O108" s="277">
        <f t="shared" si="40"/>
        <v>0</v>
      </c>
      <c r="P108" s="278">
        <f t="shared" si="41"/>
        <v>0</v>
      </c>
      <c r="Q108" s="295">
        <f t="shared" si="42"/>
        <v>0</v>
      </c>
      <c r="R108" s="279">
        <f t="shared" si="43"/>
        <v>0</v>
      </c>
      <c r="S108" s="279">
        <f t="shared" si="44"/>
        <v>0</v>
      </c>
      <c r="T108" s="296" t="b">
        <v>0</v>
      </c>
    </row>
    <row r="109" spans="1:22" s="212" customFormat="1" ht="15.75" customHeight="1" thickBot="1" x14ac:dyDescent="0.3">
      <c r="A109" s="35" t="s">
        <v>1192</v>
      </c>
      <c r="B109" s="78"/>
      <c r="C109" s="36" t="s">
        <v>72</v>
      </c>
      <c r="D109" s="36"/>
      <c r="E109" s="36"/>
      <c r="F109" s="36">
        <f>SUBTOTAL(9,F99:F108)</f>
        <v>0</v>
      </c>
      <c r="G109" s="36">
        <f>SUBTOTAL(9,G99:G108)</f>
        <v>0</v>
      </c>
      <c r="H109" s="36"/>
      <c r="I109" s="36"/>
      <c r="J109" s="36"/>
      <c r="K109" s="36">
        <f>SUBTOTAL(9,K99:K108)</f>
        <v>0</v>
      </c>
      <c r="L109" s="36">
        <f>SUBTOTAL(9,L99:L108)</f>
        <v>0</v>
      </c>
      <c r="M109" s="79">
        <f>P109</f>
        <v>0</v>
      </c>
      <c r="N109" s="79">
        <f>Q109</f>
        <v>0</v>
      </c>
      <c r="O109" s="297">
        <f>SUBTOTAL(9,O99:O108)</f>
        <v>0</v>
      </c>
      <c r="P109" s="298">
        <f>SUBTOTAL(9,P99:P108)</f>
        <v>0</v>
      </c>
      <c r="Q109" s="298">
        <f>SUBTOTAL(9,Q99:Q108)</f>
        <v>0</v>
      </c>
      <c r="R109" s="299"/>
      <c r="S109" s="299"/>
      <c r="T109" s="300"/>
    </row>
    <row r="110" spans="1:22" ht="15.75" customHeight="1" thickTop="1" x14ac:dyDescent="0.25">
      <c r="A110" t="s">
        <v>1193</v>
      </c>
      <c r="O110"/>
      <c r="P110"/>
      <c r="U110" s="266"/>
      <c r="V110" s="266"/>
    </row>
    <row r="111" spans="1:22" x14ac:dyDescent="0.25">
      <c r="O111"/>
      <c r="P111"/>
      <c r="U111" s="266"/>
      <c r="V111" s="266"/>
    </row>
    <row r="112" spans="1:22" x14ac:dyDescent="0.25">
      <c r="B112" s="284" t="s">
        <v>1194</v>
      </c>
      <c r="O112"/>
      <c r="P112"/>
      <c r="U112" s="266"/>
      <c r="V112" s="266"/>
    </row>
    <row r="113" spans="1:20" x14ac:dyDescent="0.25">
      <c r="B113" s="286" t="s">
        <v>1195</v>
      </c>
      <c r="O113"/>
      <c r="P113"/>
      <c r="S113" s="266"/>
      <c r="T113" s="266"/>
    </row>
    <row r="114" spans="1:20" x14ac:dyDescent="0.25">
      <c r="B114" s="73" t="s">
        <v>1196</v>
      </c>
      <c r="N114" s="219"/>
      <c r="O114"/>
      <c r="P114"/>
      <c r="S114" s="266"/>
      <c r="T114" s="266"/>
    </row>
    <row r="115" spans="1:20" x14ac:dyDescent="0.25">
      <c r="N115" s="219"/>
      <c r="O115"/>
      <c r="P115"/>
      <c r="S115" s="266"/>
      <c r="T115" s="266"/>
    </row>
    <row r="116" spans="1:20" ht="15.75" customHeight="1" thickBot="1" x14ac:dyDescent="0.3">
      <c r="B116" s="37" t="s">
        <v>1197</v>
      </c>
      <c r="C116" s="37"/>
      <c r="O116"/>
      <c r="P116"/>
      <c r="S116" s="266"/>
      <c r="T116" s="266"/>
    </row>
    <row r="117" spans="1:20" x14ac:dyDescent="0.25">
      <c r="B117" t="s">
        <v>1198</v>
      </c>
      <c r="C117" s="265"/>
      <c r="O117"/>
      <c r="P117"/>
      <c r="S117" s="266"/>
      <c r="T117" s="266"/>
    </row>
    <row r="118" spans="1:20" x14ac:dyDescent="0.25">
      <c r="B118" t="s">
        <v>1199</v>
      </c>
      <c r="C118" s="301"/>
      <c r="O118"/>
      <c r="P118"/>
      <c r="S118" s="266"/>
      <c r="T118" s="266"/>
    </row>
    <row r="119" spans="1:20" x14ac:dyDescent="0.25">
      <c r="B119" t="s">
        <v>1200</v>
      </c>
      <c r="C119" s="302"/>
    </row>
    <row r="120" spans="1:20" ht="15.75" customHeight="1" thickBot="1" x14ac:dyDescent="0.3">
      <c r="O120"/>
      <c r="P120"/>
    </row>
    <row r="121" spans="1:20" ht="27.75" customHeight="1" thickTop="1" thickBot="1" x14ac:dyDescent="0.45">
      <c r="A121" s="38" t="s">
        <v>111</v>
      </c>
      <c r="B121" s="39">
        <v>2014</v>
      </c>
      <c r="O121"/>
      <c r="P121"/>
    </row>
    <row r="122" spans="1:20" s="235" customFormat="1" ht="65.25" customHeight="1" thickTop="1" thickBot="1" x14ac:dyDescent="0.25">
      <c r="A122" s="69" t="s">
        <v>11</v>
      </c>
      <c r="B122" s="70" t="s">
        <v>17</v>
      </c>
      <c r="C122" s="70" t="s">
        <v>1157</v>
      </c>
      <c r="D122" s="70" t="s">
        <v>1158</v>
      </c>
      <c r="E122" s="70" t="s">
        <v>1159</v>
      </c>
      <c r="F122" s="70" t="s">
        <v>136</v>
      </c>
      <c r="G122" s="70" t="s">
        <v>1160</v>
      </c>
      <c r="H122" s="71" t="s">
        <v>1165</v>
      </c>
      <c r="I122" s="71"/>
      <c r="J122" s="71" t="s">
        <v>1201</v>
      </c>
      <c r="K122" s="71" t="s">
        <v>1164</v>
      </c>
      <c r="L122" s="71" t="s">
        <v>1165</v>
      </c>
      <c r="M122" s="71" t="s">
        <v>144</v>
      </c>
      <c r="N122" s="71" t="s">
        <v>150</v>
      </c>
      <c r="O122" s="267" t="s">
        <v>1166</v>
      </c>
      <c r="P122" s="268" t="s">
        <v>1167</v>
      </c>
      <c r="Q122" s="268" t="s">
        <v>1168</v>
      </c>
      <c r="R122" s="269" t="s">
        <v>1169</v>
      </c>
      <c r="S122" s="269" t="s">
        <v>1170</v>
      </c>
      <c r="T122" s="270" t="s">
        <v>1171</v>
      </c>
    </row>
    <row r="123" spans="1:20" x14ac:dyDescent="0.25">
      <c r="A123" s="271" t="s">
        <v>1172</v>
      </c>
      <c r="B123" s="272"/>
      <c r="C123" s="273" t="s">
        <v>1173</v>
      </c>
      <c r="D123" s="274"/>
      <c r="E123" s="275"/>
      <c r="F123" s="275"/>
      <c r="G123" s="275"/>
      <c r="H123" s="275"/>
      <c r="I123" s="275"/>
      <c r="J123" s="276"/>
      <c r="K123" s="72">
        <f t="shared" ref="K123:K132" si="45">IF(T123=TRUE,F123,0)</f>
        <v>0</v>
      </c>
      <c r="L123" s="73">
        <f t="shared" ref="L123:L132" si="46">IF(T123=TRUE,S123-R123,0)</f>
        <v>0</v>
      </c>
      <c r="M123" s="74">
        <f t="shared" ref="M123:M132" si="47">IF(T123=TRUE,G123/F123,0)</f>
        <v>0</v>
      </c>
      <c r="N123" s="74">
        <f t="shared" ref="N123:N132" si="48">IF(T123=TRUE,(G123*100000)/(F123*L123*C$143),0)</f>
        <v>0</v>
      </c>
      <c r="O123" s="277">
        <f t="shared" ref="O123:O132" si="49">IF(T123=TRUE,K123/K$133,0)</f>
        <v>0</v>
      </c>
      <c r="P123" s="278">
        <f t="shared" ref="P123:P132" si="50">M123*O123</f>
        <v>0</v>
      </c>
      <c r="Q123" s="278">
        <f t="shared" ref="Q123:Q132" si="51">N123*O123</f>
        <v>0</v>
      </c>
      <c r="R123" s="279">
        <f t="shared" ref="R123:R132" si="52">IF(J123&gt;1,J123,C$141+C$142)</f>
        <v>0</v>
      </c>
      <c r="S123" s="279">
        <f t="shared" ref="S123:S132" si="53">IF(I123&gt;1,I123,C$141+H123)</f>
        <v>0</v>
      </c>
      <c r="T123" s="280" t="b">
        <v>0</v>
      </c>
    </row>
    <row r="124" spans="1:20" x14ac:dyDescent="0.25">
      <c r="A124" s="281" t="s">
        <v>1174</v>
      </c>
      <c r="B124" s="282"/>
      <c r="C124" s="283" t="s">
        <v>1175</v>
      </c>
      <c r="D124" s="284"/>
      <c r="E124" s="285"/>
      <c r="F124" s="285"/>
      <c r="G124" s="285"/>
      <c r="H124" s="285"/>
      <c r="I124" s="285"/>
      <c r="J124" s="285"/>
      <c r="K124" s="73">
        <f t="shared" si="45"/>
        <v>0</v>
      </c>
      <c r="L124" s="73">
        <f t="shared" si="46"/>
        <v>0</v>
      </c>
      <c r="M124" s="74">
        <f t="shared" si="47"/>
        <v>0</v>
      </c>
      <c r="N124" s="74">
        <f t="shared" si="48"/>
        <v>0</v>
      </c>
      <c r="O124" s="277">
        <f t="shared" si="49"/>
        <v>0</v>
      </c>
      <c r="P124" s="278">
        <f t="shared" si="50"/>
        <v>0</v>
      </c>
      <c r="Q124" s="287">
        <f t="shared" si="51"/>
        <v>0</v>
      </c>
      <c r="R124" s="279">
        <f t="shared" si="52"/>
        <v>0</v>
      </c>
      <c r="S124" s="279">
        <f t="shared" si="53"/>
        <v>0</v>
      </c>
      <c r="T124" s="288" t="b">
        <v>0</v>
      </c>
    </row>
    <row r="125" spans="1:20" x14ac:dyDescent="0.25">
      <c r="A125" s="281" t="s">
        <v>1176</v>
      </c>
      <c r="B125" s="282"/>
      <c r="C125" s="283" t="s">
        <v>1177</v>
      </c>
      <c r="D125" s="284"/>
      <c r="E125" s="285"/>
      <c r="F125" s="285"/>
      <c r="G125" s="285"/>
      <c r="H125" s="285"/>
      <c r="I125" s="285"/>
      <c r="J125" s="285"/>
      <c r="K125" s="73">
        <f t="shared" si="45"/>
        <v>0</v>
      </c>
      <c r="L125" s="73">
        <f t="shared" si="46"/>
        <v>0</v>
      </c>
      <c r="M125" s="74">
        <f t="shared" si="47"/>
        <v>0</v>
      </c>
      <c r="N125" s="74">
        <f t="shared" si="48"/>
        <v>0</v>
      </c>
      <c r="O125" s="277">
        <f t="shared" si="49"/>
        <v>0</v>
      </c>
      <c r="P125" s="278">
        <f t="shared" si="50"/>
        <v>0</v>
      </c>
      <c r="Q125" s="287">
        <f t="shared" si="51"/>
        <v>0</v>
      </c>
      <c r="R125" s="279">
        <f t="shared" si="52"/>
        <v>0</v>
      </c>
      <c r="S125" s="279">
        <f t="shared" si="53"/>
        <v>0</v>
      </c>
      <c r="T125" s="288" t="b">
        <v>0</v>
      </c>
    </row>
    <row r="126" spans="1:20" x14ac:dyDescent="0.25">
      <c r="A126" s="281" t="s">
        <v>1178</v>
      </c>
      <c r="B126" s="282"/>
      <c r="C126" s="283" t="s">
        <v>1179</v>
      </c>
      <c r="D126" s="284"/>
      <c r="E126" s="285"/>
      <c r="F126" s="285"/>
      <c r="G126" s="285"/>
      <c r="H126" s="285"/>
      <c r="I126" s="285"/>
      <c r="J126" s="285"/>
      <c r="K126" s="73">
        <f t="shared" si="45"/>
        <v>0</v>
      </c>
      <c r="L126" s="73">
        <f t="shared" si="46"/>
        <v>0</v>
      </c>
      <c r="M126" s="74">
        <f t="shared" si="47"/>
        <v>0</v>
      </c>
      <c r="N126" s="74">
        <f t="shared" si="48"/>
        <v>0</v>
      </c>
      <c r="O126" s="277">
        <f t="shared" si="49"/>
        <v>0</v>
      </c>
      <c r="P126" s="278">
        <f t="shared" si="50"/>
        <v>0</v>
      </c>
      <c r="Q126" s="287">
        <f t="shared" si="51"/>
        <v>0</v>
      </c>
      <c r="R126" s="279">
        <f t="shared" si="52"/>
        <v>0</v>
      </c>
      <c r="S126" s="279">
        <f t="shared" si="53"/>
        <v>0</v>
      </c>
      <c r="T126" s="288" t="b">
        <v>0</v>
      </c>
    </row>
    <row r="127" spans="1:20" x14ac:dyDescent="0.25">
      <c r="A127" s="281" t="s">
        <v>1180</v>
      </c>
      <c r="B127" s="282"/>
      <c r="C127" s="283" t="s">
        <v>1181</v>
      </c>
      <c r="D127" s="284"/>
      <c r="E127" s="285"/>
      <c r="F127" s="285"/>
      <c r="G127" s="285"/>
      <c r="H127" s="285"/>
      <c r="I127" s="285"/>
      <c r="J127" s="285"/>
      <c r="K127" s="73">
        <f t="shared" si="45"/>
        <v>0</v>
      </c>
      <c r="L127" s="73">
        <f t="shared" si="46"/>
        <v>0</v>
      </c>
      <c r="M127" s="74">
        <f t="shared" si="47"/>
        <v>0</v>
      </c>
      <c r="N127" s="74">
        <f t="shared" si="48"/>
        <v>0</v>
      </c>
      <c r="O127" s="277">
        <f t="shared" si="49"/>
        <v>0</v>
      </c>
      <c r="P127" s="278">
        <f t="shared" si="50"/>
        <v>0</v>
      </c>
      <c r="Q127" s="287">
        <f t="shared" si="51"/>
        <v>0</v>
      </c>
      <c r="R127" s="279">
        <f t="shared" si="52"/>
        <v>0</v>
      </c>
      <c r="S127" s="279">
        <f t="shared" si="53"/>
        <v>0</v>
      </c>
      <c r="T127" s="288" t="b">
        <v>0</v>
      </c>
    </row>
    <row r="128" spans="1:20" x14ac:dyDescent="0.25">
      <c r="A128" s="281" t="s">
        <v>1182</v>
      </c>
      <c r="B128" s="282"/>
      <c r="C128" s="283" t="s">
        <v>1183</v>
      </c>
      <c r="D128" s="284"/>
      <c r="E128" s="285"/>
      <c r="F128" s="285"/>
      <c r="G128" s="285"/>
      <c r="H128" s="285"/>
      <c r="I128" s="285"/>
      <c r="J128" s="285"/>
      <c r="K128" s="73">
        <f t="shared" si="45"/>
        <v>0</v>
      </c>
      <c r="L128" s="73">
        <f t="shared" si="46"/>
        <v>0</v>
      </c>
      <c r="M128" s="74">
        <f t="shared" si="47"/>
        <v>0</v>
      </c>
      <c r="N128" s="74">
        <f t="shared" si="48"/>
        <v>0</v>
      </c>
      <c r="O128" s="277">
        <f t="shared" si="49"/>
        <v>0</v>
      </c>
      <c r="P128" s="278">
        <f t="shared" si="50"/>
        <v>0</v>
      </c>
      <c r="Q128" s="287">
        <f t="shared" si="51"/>
        <v>0</v>
      </c>
      <c r="R128" s="279">
        <f t="shared" si="52"/>
        <v>0</v>
      </c>
      <c r="S128" s="279">
        <f t="shared" si="53"/>
        <v>0</v>
      </c>
      <c r="T128" s="288" t="b">
        <v>0</v>
      </c>
    </row>
    <row r="129" spans="1:22" x14ac:dyDescent="0.25">
      <c r="A129" s="281" t="s">
        <v>1184</v>
      </c>
      <c r="B129" s="282"/>
      <c r="C129" s="283" t="s">
        <v>1185</v>
      </c>
      <c r="D129" s="284"/>
      <c r="E129" s="285"/>
      <c r="F129" s="285"/>
      <c r="G129" s="285"/>
      <c r="H129" s="285"/>
      <c r="I129" s="285"/>
      <c r="J129" s="285"/>
      <c r="K129" s="73">
        <f t="shared" si="45"/>
        <v>0</v>
      </c>
      <c r="L129" s="73">
        <f t="shared" si="46"/>
        <v>0</v>
      </c>
      <c r="M129" s="74">
        <f t="shared" si="47"/>
        <v>0</v>
      </c>
      <c r="N129" s="74">
        <f t="shared" si="48"/>
        <v>0</v>
      </c>
      <c r="O129" s="277">
        <f t="shared" si="49"/>
        <v>0</v>
      </c>
      <c r="P129" s="278">
        <f t="shared" si="50"/>
        <v>0</v>
      </c>
      <c r="Q129" s="287">
        <f t="shared" si="51"/>
        <v>0</v>
      </c>
      <c r="R129" s="279">
        <f t="shared" si="52"/>
        <v>0</v>
      </c>
      <c r="S129" s="279">
        <f t="shared" si="53"/>
        <v>0</v>
      </c>
      <c r="T129" s="288" t="b">
        <v>0</v>
      </c>
    </row>
    <row r="130" spans="1:22" x14ac:dyDescent="0.25">
      <c r="A130" s="281" t="s">
        <v>1186</v>
      </c>
      <c r="B130" s="282"/>
      <c r="C130" s="283" t="s">
        <v>1187</v>
      </c>
      <c r="D130" s="284"/>
      <c r="E130" s="285"/>
      <c r="F130" s="285"/>
      <c r="G130" s="285"/>
      <c r="H130" s="285"/>
      <c r="I130" s="285"/>
      <c r="J130" s="285"/>
      <c r="K130" s="73">
        <f t="shared" si="45"/>
        <v>0</v>
      </c>
      <c r="L130" s="73">
        <f t="shared" si="46"/>
        <v>0</v>
      </c>
      <c r="M130" s="74">
        <f t="shared" si="47"/>
        <v>0</v>
      </c>
      <c r="N130" s="74">
        <f t="shared" si="48"/>
        <v>0</v>
      </c>
      <c r="O130" s="277">
        <f t="shared" si="49"/>
        <v>0</v>
      </c>
      <c r="P130" s="278">
        <f t="shared" si="50"/>
        <v>0</v>
      </c>
      <c r="Q130" s="287">
        <f t="shared" si="51"/>
        <v>0</v>
      </c>
      <c r="R130" s="279">
        <f t="shared" si="52"/>
        <v>0</v>
      </c>
      <c r="S130" s="279">
        <f t="shared" si="53"/>
        <v>0</v>
      </c>
      <c r="T130" s="288" t="b">
        <v>0</v>
      </c>
    </row>
    <row r="131" spans="1:22" x14ac:dyDescent="0.25">
      <c r="A131" s="281" t="s">
        <v>1188</v>
      </c>
      <c r="B131" s="282"/>
      <c r="C131" s="283" t="s">
        <v>1189</v>
      </c>
      <c r="D131" s="284"/>
      <c r="E131" s="285"/>
      <c r="F131" s="285"/>
      <c r="G131" s="285"/>
      <c r="H131" s="285"/>
      <c r="I131" s="285"/>
      <c r="J131" s="285"/>
      <c r="K131" s="73">
        <f t="shared" si="45"/>
        <v>0</v>
      </c>
      <c r="L131" s="73">
        <f t="shared" si="46"/>
        <v>0</v>
      </c>
      <c r="M131" s="74">
        <f t="shared" si="47"/>
        <v>0</v>
      </c>
      <c r="N131" s="74">
        <f t="shared" si="48"/>
        <v>0</v>
      </c>
      <c r="O131" s="277">
        <f t="shared" si="49"/>
        <v>0</v>
      </c>
      <c r="P131" s="278">
        <f t="shared" si="50"/>
        <v>0</v>
      </c>
      <c r="Q131" s="287">
        <f t="shared" si="51"/>
        <v>0</v>
      </c>
      <c r="R131" s="279">
        <f t="shared" si="52"/>
        <v>0</v>
      </c>
      <c r="S131" s="279">
        <f t="shared" si="53"/>
        <v>0</v>
      </c>
      <c r="T131" s="288" t="b">
        <v>0</v>
      </c>
    </row>
    <row r="132" spans="1:22" ht="15.75" customHeight="1" thickBot="1" x14ac:dyDescent="0.3">
      <c r="A132" s="289" t="s">
        <v>1190</v>
      </c>
      <c r="B132" s="290"/>
      <c r="C132" s="291" t="s">
        <v>1191</v>
      </c>
      <c r="D132" s="292"/>
      <c r="E132" s="293"/>
      <c r="F132" s="293"/>
      <c r="G132" s="293"/>
      <c r="H132" s="293"/>
      <c r="I132" s="293"/>
      <c r="J132" s="293"/>
      <c r="K132" s="76">
        <f t="shared" si="45"/>
        <v>0</v>
      </c>
      <c r="L132" s="73">
        <f t="shared" si="46"/>
        <v>0</v>
      </c>
      <c r="M132" s="74">
        <f t="shared" si="47"/>
        <v>0</v>
      </c>
      <c r="N132" s="74">
        <f t="shared" si="48"/>
        <v>0</v>
      </c>
      <c r="O132" s="277">
        <f t="shared" si="49"/>
        <v>0</v>
      </c>
      <c r="P132" s="278">
        <f t="shared" si="50"/>
        <v>0</v>
      </c>
      <c r="Q132" s="295">
        <f t="shared" si="51"/>
        <v>0</v>
      </c>
      <c r="R132" s="279">
        <f t="shared" si="52"/>
        <v>0</v>
      </c>
      <c r="S132" s="279">
        <f t="shared" si="53"/>
        <v>0</v>
      </c>
      <c r="T132" s="296" t="b">
        <v>0</v>
      </c>
    </row>
    <row r="133" spans="1:22" s="212" customFormat="1" ht="15.75" customHeight="1" thickBot="1" x14ac:dyDescent="0.3">
      <c r="A133" s="35" t="s">
        <v>1192</v>
      </c>
      <c r="B133" s="78"/>
      <c r="C133" s="36" t="s">
        <v>72</v>
      </c>
      <c r="D133" s="36"/>
      <c r="E133" s="36"/>
      <c r="F133" s="36">
        <f>SUBTOTAL(9,F123:F132)</f>
        <v>0</v>
      </c>
      <c r="G133" s="36">
        <f>SUBTOTAL(9,G123:G132)</f>
        <v>0</v>
      </c>
      <c r="H133" s="36"/>
      <c r="I133" s="36"/>
      <c r="J133" s="36"/>
      <c r="K133" s="36">
        <f>SUBTOTAL(9,K123:K132)</f>
        <v>0</v>
      </c>
      <c r="L133" s="36">
        <f>SUBTOTAL(9,L123:L132)</f>
        <v>0</v>
      </c>
      <c r="M133" s="79">
        <f>P133</f>
        <v>0</v>
      </c>
      <c r="N133" s="79">
        <f>Q133</f>
        <v>0</v>
      </c>
      <c r="O133" s="297">
        <f>SUBTOTAL(9,O123:O132)</f>
        <v>0</v>
      </c>
      <c r="P133" s="298">
        <f>SUBTOTAL(9,P123:P132)</f>
        <v>0</v>
      </c>
      <c r="Q133" s="298">
        <f>SUBTOTAL(9,Q123:Q132)</f>
        <v>0</v>
      </c>
      <c r="R133" s="299"/>
      <c r="S133" s="299"/>
      <c r="T133" s="300"/>
    </row>
    <row r="134" spans="1:22" ht="15.75" customHeight="1" thickTop="1" x14ac:dyDescent="0.25">
      <c r="A134" t="s">
        <v>1193</v>
      </c>
      <c r="O134"/>
      <c r="P134"/>
      <c r="U134" s="266"/>
      <c r="V134" s="266"/>
    </row>
    <row r="135" spans="1:22" x14ac:dyDescent="0.25">
      <c r="O135"/>
      <c r="P135"/>
      <c r="U135" s="266"/>
      <c r="V135" s="266"/>
    </row>
    <row r="136" spans="1:22" x14ac:dyDescent="0.25">
      <c r="B136" s="285" t="s">
        <v>1194</v>
      </c>
      <c r="O136"/>
      <c r="P136"/>
      <c r="U136" s="266"/>
      <c r="V136" s="266"/>
    </row>
    <row r="137" spans="1:22" x14ac:dyDescent="0.25">
      <c r="B137" s="286" t="s">
        <v>1195</v>
      </c>
      <c r="O137"/>
      <c r="P137"/>
      <c r="S137" s="266"/>
      <c r="T137" s="266"/>
    </row>
    <row r="138" spans="1:22" x14ac:dyDescent="0.25">
      <c r="B138" s="73" t="s">
        <v>1196</v>
      </c>
      <c r="N138" s="219"/>
      <c r="O138"/>
      <c r="P138"/>
      <c r="S138" s="266"/>
      <c r="T138" s="266"/>
    </row>
    <row r="139" spans="1:22" x14ac:dyDescent="0.25">
      <c r="N139" s="219"/>
      <c r="O139"/>
      <c r="P139"/>
      <c r="S139" s="266"/>
      <c r="T139" s="266"/>
    </row>
    <row r="140" spans="1:22" ht="15.75" customHeight="1" thickBot="1" x14ac:dyDescent="0.3">
      <c r="B140" s="37" t="s">
        <v>1197</v>
      </c>
      <c r="C140" s="37"/>
      <c r="O140"/>
      <c r="P140"/>
      <c r="S140" s="266"/>
      <c r="T140" s="266"/>
    </row>
    <row r="141" spans="1:22" x14ac:dyDescent="0.25">
      <c r="B141" t="s">
        <v>1198</v>
      </c>
      <c r="C141" s="265"/>
      <c r="O141"/>
      <c r="P141"/>
      <c r="S141" s="266"/>
      <c r="T141" s="266"/>
    </row>
    <row r="142" spans="1:22" x14ac:dyDescent="0.25">
      <c r="B142" t="s">
        <v>1199</v>
      </c>
      <c r="C142" s="301"/>
      <c r="O142"/>
      <c r="P142"/>
      <c r="S142" s="266"/>
      <c r="T142" s="266"/>
    </row>
    <row r="143" spans="1:22" x14ac:dyDescent="0.25">
      <c r="B143" t="s">
        <v>1200</v>
      </c>
      <c r="C143" s="302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3</xdr:col>
                    <xdr:colOff>600075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3</xdr:col>
                    <xdr:colOff>600075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9525</xdr:rowOff>
                  </from>
                  <to>
                    <xdr:col>3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3</xdr:col>
                    <xdr:colOff>600075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600075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600075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3</xdr:col>
                    <xdr:colOff>600075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3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3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9525</xdr:rowOff>
                  </from>
                  <to>
                    <xdr:col>3</xdr:col>
                    <xdr:colOff>600075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9525</xdr:rowOff>
                  </from>
                  <to>
                    <xdr:col>3</xdr:col>
                    <xdr:colOff>600075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9525</xdr:rowOff>
                  </from>
                  <to>
                    <xdr:col>3</xdr:col>
                    <xdr:colOff>600075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3</xdr:col>
                    <xdr:colOff>600075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3</xdr:col>
                    <xdr:colOff>600075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3</xdr:col>
                    <xdr:colOff>600075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9525</xdr:rowOff>
                  </from>
                  <to>
                    <xdr:col>3</xdr:col>
                    <xdr:colOff>600075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9525</xdr:rowOff>
                  </from>
                  <to>
                    <xdr:col>3</xdr:col>
                    <xdr:colOff>600075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9525</xdr:rowOff>
                  </from>
                  <to>
                    <xdr:col>3</xdr:col>
                    <xdr:colOff>600075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9525</xdr:rowOff>
                  </from>
                  <to>
                    <xdr:col>3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9525</xdr:rowOff>
                  </from>
                  <to>
                    <xdr:col>3</xdr:col>
                    <xdr:colOff>600075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3</xdr:col>
                    <xdr:colOff>600075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9525</xdr:rowOff>
                  </from>
                  <to>
                    <xdr:col>3</xdr:col>
                    <xdr:colOff>600075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78</xdr:row>
                    <xdr:rowOff>9525</xdr:rowOff>
                  </from>
                  <to>
                    <xdr:col>3</xdr:col>
                    <xdr:colOff>600075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9525</xdr:rowOff>
                  </from>
                  <to>
                    <xdr:col>3</xdr:col>
                    <xdr:colOff>600075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98</xdr:row>
                    <xdr:rowOff>9525</xdr:rowOff>
                  </from>
                  <to>
                    <xdr:col>3</xdr:col>
                    <xdr:colOff>600075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3</xdr:col>
                    <xdr:colOff>9525</xdr:colOff>
                    <xdr:row>99</xdr:row>
                    <xdr:rowOff>9525</xdr:rowOff>
                  </from>
                  <to>
                    <xdr:col>3</xdr:col>
                    <xdr:colOff>600075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3</xdr:col>
                    <xdr:colOff>9525</xdr:colOff>
                    <xdr:row>100</xdr:row>
                    <xdr:rowOff>9525</xdr:rowOff>
                  </from>
                  <to>
                    <xdr:col>3</xdr:col>
                    <xdr:colOff>600075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3</xdr:col>
                    <xdr:colOff>9525</xdr:colOff>
                    <xdr:row>101</xdr:row>
                    <xdr:rowOff>9525</xdr:rowOff>
                  </from>
                  <to>
                    <xdr:col>3</xdr:col>
                    <xdr:colOff>600075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3</xdr:col>
                    <xdr:colOff>9525</xdr:colOff>
                    <xdr:row>102</xdr:row>
                    <xdr:rowOff>9525</xdr:rowOff>
                  </from>
                  <to>
                    <xdr:col>3</xdr:col>
                    <xdr:colOff>600075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3</xdr:col>
                    <xdr:colOff>9525</xdr:colOff>
                    <xdr:row>103</xdr:row>
                    <xdr:rowOff>9525</xdr:rowOff>
                  </from>
                  <to>
                    <xdr:col>3</xdr:col>
                    <xdr:colOff>600075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122</xdr:row>
                    <xdr:rowOff>9525</xdr:rowOff>
                  </from>
                  <to>
                    <xdr:col>3</xdr:col>
                    <xdr:colOff>600075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123</xdr:row>
                    <xdr:rowOff>9525</xdr:rowOff>
                  </from>
                  <to>
                    <xdr:col>3</xdr:col>
                    <xdr:colOff>600075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124</xdr:row>
                    <xdr:rowOff>9525</xdr:rowOff>
                  </from>
                  <to>
                    <xdr:col>3</xdr:col>
                    <xdr:colOff>600075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125</xdr:row>
                    <xdr:rowOff>9525</xdr:rowOff>
                  </from>
                  <to>
                    <xdr:col>3</xdr:col>
                    <xdr:colOff>600075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3</xdr:col>
                    <xdr:colOff>9525</xdr:colOff>
                    <xdr:row>126</xdr:row>
                    <xdr:rowOff>9525</xdr:rowOff>
                  </from>
                  <to>
                    <xdr:col>3</xdr:col>
                    <xdr:colOff>600075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3</xdr:col>
                    <xdr:colOff>9525</xdr:colOff>
                    <xdr:row>127</xdr:row>
                    <xdr:rowOff>9525</xdr:rowOff>
                  </from>
                  <to>
                    <xdr:col>3</xdr:col>
                    <xdr:colOff>600075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6" name="Check Box 84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7" name="Check Box 85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8" name="Check Box 86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9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0" name="Check Box 88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1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2" name="Check Box 9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4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5" name="Check Box 93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6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7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8" name="Check Box 96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9" name="Check Box 97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0" name="Check Box 98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1" name="Check Box 9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2" name="Check Box 10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>
      <selection activeCell="M8" sqref="M8"/>
    </sheetView>
  </sheetViews>
  <sheetFormatPr defaultRowHeight="15" x14ac:dyDescent="0.25"/>
  <sheetData/>
  <sheetProtection password="DB3D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E30"/>
  <sheetViews>
    <sheetView workbookViewId="0">
      <selection activeCell="D21" sqref="D21:E21"/>
    </sheetView>
  </sheetViews>
  <sheetFormatPr defaultColWidth="9.140625" defaultRowHeight="15" x14ac:dyDescent="0.25"/>
  <cols>
    <col min="1" max="1" width="32.42578125" customWidth="1"/>
    <col min="2" max="2" width="9.140625" customWidth="1"/>
  </cols>
  <sheetData>
    <row r="1" spans="1:4" ht="26.25" customHeight="1" x14ac:dyDescent="0.4">
      <c r="A1" s="93" t="s">
        <v>2</v>
      </c>
    </row>
    <row r="3" spans="1:4" ht="18.75" customHeight="1" x14ac:dyDescent="0.3">
      <c r="A3" s="89" t="s">
        <v>3</v>
      </c>
      <c r="B3" s="89"/>
    </row>
    <row r="4" spans="1:4" ht="18.75" customHeight="1" x14ac:dyDescent="0.3">
      <c r="A4" s="89" t="s">
        <v>1259</v>
      </c>
      <c r="B4" s="94"/>
      <c r="C4" s="94"/>
      <c r="D4" s="89"/>
    </row>
    <row r="5" spans="1:4" ht="18.75" customHeight="1" x14ac:dyDescent="0.3">
      <c r="A5" s="89"/>
      <c r="B5" s="89"/>
      <c r="C5" s="94"/>
      <c r="D5" s="89"/>
    </row>
    <row r="6" spans="1:4" ht="18.75" customHeight="1" x14ac:dyDescent="0.3">
      <c r="A6" s="89"/>
      <c r="B6" s="89"/>
    </row>
    <row r="7" spans="1:4" ht="18.75" customHeight="1" x14ac:dyDescent="0.3">
      <c r="A7" s="89" t="s">
        <v>4</v>
      </c>
      <c r="B7" s="89"/>
    </row>
    <row r="8" spans="1:4" ht="18.75" customHeight="1" x14ac:dyDescent="0.3">
      <c r="A8" s="89" t="s">
        <v>1260</v>
      </c>
      <c r="B8" s="89"/>
    </row>
    <row r="9" spans="1:4" ht="18.75" customHeight="1" x14ac:dyDescent="0.3">
      <c r="A9" s="89"/>
      <c r="B9" s="89"/>
    </row>
    <row r="10" spans="1:4" ht="18.75" customHeight="1" x14ac:dyDescent="0.3">
      <c r="A10" s="89" t="s">
        <v>6</v>
      </c>
      <c r="B10" s="89"/>
    </row>
    <row r="11" spans="1:4" ht="18.75" customHeight="1" x14ac:dyDescent="0.3">
      <c r="A11" s="94" t="s">
        <v>7</v>
      </c>
      <c r="B11" s="89"/>
    </row>
    <row r="12" spans="1:4" ht="18.75" customHeight="1" x14ac:dyDescent="0.3">
      <c r="A12" s="94"/>
      <c r="B12" s="89"/>
    </row>
    <row r="13" spans="1:4" ht="18.75" customHeight="1" x14ac:dyDescent="0.3">
      <c r="A13" s="94" t="s">
        <v>8</v>
      </c>
      <c r="B13" s="89"/>
    </row>
    <row r="14" spans="1:4" x14ac:dyDescent="0.25">
      <c r="B14" s="95"/>
      <c r="C14" s="92"/>
      <c r="D14" s="92"/>
    </row>
    <row r="15" spans="1:4" ht="15" customHeight="1" x14ac:dyDescent="0.25">
      <c r="A15" s="307" t="s">
        <v>9</v>
      </c>
      <c r="B15" s="308"/>
      <c r="C15" s="308"/>
      <c r="D15" s="308"/>
    </row>
    <row r="17" spans="1:5" x14ac:dyDescent="0.25">
      <c r="A17" s="92" t="s">
        <v>10</v>
      </c>
      <c r="B17" s="95"/>
      <c r="C17" s="92"/>
      <c r="D17" s="92"/>
    </row>
    <row r="18" spans="1:5" x14ac:dyDescent="0.25">
      <c r="A18" s="96" t="s">
        <v>11</v>
      </c>
      <c r="B18" s="95"/>
      <c r="C18" s="92"/>
      <c r="D18" s="96" t="s">
        <v>12</v>
      </c>
    </row>
    <row r="19" spans="1:5" x14ac:dyDescent="0.25">
      <c r="A19" s="309" t="s">
        <v>1258</v>
      </c>
      <c r="B19" s="310"/>
      <c r="C19" s="92"/>
      <c r="D19" s="304" t="s">
        <v>1264</v>
      </c>
      <c r="E19" s="305"/>
    </row>
    <row r="20" spans="1:5" x14ac:dyDescent="0.25">
      <c r="A20" s="96" t="s">
        <v>11</v>
      </c>
      <c r="B20" s="95"/>
      <c r="C20" s="92"/>
      <c r="D20" s="96" t="s">
        <v>13</v>
      </c>
    </row>
    <row r="21" spans="1:5" x14ac:dyDescent="0.25">
      <c r="A21" s="309" t="s">
        <v>1265</v>
      </c>
      <c r="B21" s="310"/>
      <c r="C21" s="92"/>
      <c r="D21" s="304" t="s">
        <v>1266</v>
      </c>
      <c r="E21" s="305"/>
    </row>
    <row r="22" spans="1:5" x14ac:dyDescent="0.25">
      <c r="A22" s="96" t="s">
        <v>14</v>
      </c>
      <c r="B22" s="95"/>
      <c r="C22" s="92"/>
      <c r="D22" s="96" t="s">
        <v>15</v>
      </c>
    </row>
    <row r="23" spans="1:5" x14ac:dyDescent="0.25">
      <c r="A23" s="304" t="s">
        <v>1261</v>
      </c>
      <c r="B23" s="305"/>
      <c r="C23" s="92"/>
      <c r="D23" s="304"/>
      <c r="E23" s="305"/>
    </row>
    <row r="24" spans="1:5" x14ac:dyDescent="0.25">
      <c r="A24" s="96" t="s">
        <v>16</v>
      </c>
      <c r="B24" s="95"/>
      <c r="C24" s="92"/>
      <c r="D24" s="92"/>
    </row>
    <row r="25" spans="1:5" x14ac:dyDescent="0.25">
      <c r="A25" s="304" t="s">
        <v>1262</v>
      </c>
      <c r="B25" s="305"/>
      <c r="C25" s="92"/>
      <c r="D25" s="92"/>
    </row>
    <row r="26" spans="1:5" x14ac:dyDescent="0.25">
      <c r="A26" s="96" t="s">
        <v>17</v>
      </c>
      <c r="B26" s="95"/>
      <c r="C26" s="92"/>
      <c r="D26" s="92"/>
    </row>
    <row r="27" spans="1:5" x14ac:dyDescent="0.25">
      <c r="A27" s="306" t="s">
        <v>1263</v>
      </c>
      <c r="B27" s="305"/>
      <c r="C27" s="92"/>
      <c r="D27" s="92"/>
    </row>
    <row r="28" spans="1:5" x14ac:dyDescent="0.25">
      <c r="A28" s="96" t="s">
        <v>18</v>
      </c>
      <c r="B28" s="95"/>
      <c r="C28" s="92"/>
      <c r="D28" s="92"/>
    </row>
    <row r="29" spans="1:5" x14ac:dyDescent="0.25">
      <c r="A29" s="304"/>
      <c r="B29" s="305"/>
      <c r="C29" s="92"/>
      <c r="D29" s="92"/>
    </row>
    <row r="30" spans="1:5" x14ac:dyDescent="0.25">
      <c r="A30" s="92"/>
      <c r="B30" s="92"/>
      <c r="C30" s="92"/>
      <c r="D30" s="92"/>
    </row>
  </sheetData>
  <mergeCells count="10">
    <mergeCell ref="A25:B25"/>
    <mergeCell ref="A27:B27"/>
    <mergeCell ref="A29:B29"/>
    <mergeCell ref="A15:D15"/>
    <mergeCell ref="A19:B19"/>
    <mergeCell ref="D19:E19"/>
    <mergeCell ref="A21:B21"/>
    <mergeCell ref="D21:E21"/>
    <mergeCell ref="A23:B23"/>
    <mergeCell ref="D23:E23"/>
  </mergeCells>
  <hyperlinks>
    <hyperlink ref="A27" r:id="rId1" xr:uid="{B0957604-D947-4E87-B7D1-0F980F3171F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M408"/>
  <sheetViews>
    <sheetView tabSelected="1" topLeftCell="A135" zoomScale="130" zoomScaleNormal="130" zoomScalePageLayoutView="145" workbookViewId="0">
      <selection activeCell="C222" sqref="C222"/>
    </sheetView>
  </sheetViews>
  <sheetFormatPr defaultColWidth="9.140625" defaultRowHeight="21" customHeight="1" x14ac:dyDescent="0.25"/>
  <cols>
    <col min="1" max="1" width="34.140625" style="97" customWidth="1"/>
    <col min="2" max="2" width="13.7109375" style="97" customWidth="1"/>
    <col min="3" max="3" width="14" style="97" customWidth="1"/>
    <col min="4" max="8" width="13.7109375" style="97" customWidth="1"/>
    <col min="9" max="9" width="4.5703125" style="97" customWidth="1"/>
    <col min="10" max="10" width="131" style="101" customWidth="1"/>
    <col min="11" max="11" width="14.5703125" style="97" customWidth="1"/>
    <col min="12" max="12" width="12.42578125" style="97" customWidth="1"/>
    <col min="13" max="13" width="14.28515625" style="97" customWidth="1"/>
    <col min="14" max="14" width="9.140625" style="97" customWidth="1"/>
    <col min="15" max="15" width="12.140625" style="97" customWidth="1"/>
    <col min="16" max="16" width="14.7109375" style="97" customWidth="1"/>
    <col min="17" max="17" width="15.5703125" style="97" customWidth="1"/>
    <col min="18" max="18" width="9.140625" style="97" customWidth="1"/>
    <col min="19" max="16384" width="9.140625" style="97"/>
  </cols>
  <sheetData>
    <row r="1" spans="1:11" customFormat="1" ht="21" customHeight="1" x14ac:dyDescent="0.25">
      <c r="A1" s="100" t="s">
        <v>19</v>
      </c>
      <c r="C1" s="309" t="s">
        <v>1249</v>
      </c>
      <c r="D1" s="320"/>
      <c r="E1" s="310"/>
      <c r="J1" s="315" t="s">
        <v>20</v>
      </c>
      <c r="K1" s="315"/>
    </row>
    <row r="2" spans="1:11" customFormat="1" ht="21" customHeight="1" x14ac:dyDescent="0.25">
      <c r="A2" s="92"/>
      <c r="B2" s="92"/>
      <c r="D2" s="92"/>
      <c r="E2" s="92"/>
    </row>
    <row r="3" spans="1:11" customFormat="1" ht="66" customHeight="1" x14ac:dyDescent="0.25">
      <c r="A3" s="98" t="s">
        <v>21</v>
      </c>
      <c r="B3" s="98"/>
      <c r="C3" s="99"/>
      <c r="D3" s="99"/>
      <c r="E3" s="99"/>
    </row>
    <row r="4" spans="1:11" customFormat="1" ht="21" customHeight="1" x14ac:dyDescent="0.25">
      <c r="A4" s="98" t="s">
        <v>22</v>
      </c>
      <c r="B4" s="98"/>
      <c r="C4" s="99"/>
      <c r="D4" s="99"/>
      <c r="E4" s="99"/>
    </row>
    <row r="5" spans="1:11" customFormat="1" ht="21" customHeight="1" x14ac:dyDescent="0.25">
      <c r="A5" s="92"/>
      <c r="B5" s="92"/>
      <c r="C5" s="95"/>
      <c r="E5" s="102"/>
    </row>
    <row r="6" spans="1:11" customFormat="1" ht="21" customHeight="1" x14ac:dyDescent="0.25">
      <c r="A6" s="103" t="s">
        <v>23</v>
      </c>
      <c r="B6" s="103"/>
      <c r="C6" s="104">
        <v>45405</v>
      </c>
      <c r="J6" s="101" t="s">
        <v>24</v>
      </c>
    </row>
    <row r="7" spans="1:11" customFormat="1" ht="21" customHeight="1" x14ac:dyDescent="0.25">
      <c r="A7" s="103"/>
      <c r="B7" s="103"/>
      <c r="C7" s="24"/>
      <c r="D7" s="24"/>
      <c r="E7" s="24"/>
    </row>
    <row r="8" spans="1:11" customFormat="1" ht="21" customHeight="1" x14ac:dyDescent="0.25">
      <c r="A8" s="97" t="s">
        <v>7</v>
      </c>
      <c r="C8" s="91"/>
      <c r="D8" s="40"/>
      <c r="E8" s="41"/>
      <c r="J8" s="101" t="s">
        <v>25</v>
      </c>
    </row>
    <row r="9" spans="1:11" customFormat="1" ht="21" customHeight="1" x14ac:dyDescent="0.25">
      <c r="A9" s="97" t="s">
        <v>26</v>
      </c>
      <c r="C9" s="105">
        <v>2024</v>
      </c>
      <c r="D9" s="26" t="s">
        <v>5</v>
      </c>
      <c r="E9" s="105">
        <v>2026</v>
      </c>
      <c r="J9" s="101" t="s">
        <v>27</v>
      </c>
    </row>
    <row r="10" spans="1:11" customFormat="1" ht="21" customHeight="1" x14ac:dyDescent="0.25">
      <c r="A10" s="97" t="s">
        <v>28</v>
      </c>
      <c r="C10" s="335">
        <v>45405</v>
      </c>
      <c r="D10" s="336"/>
      <c r="E10" s="337"/>
      <c r="J10" s="101" t="s">
        <v>29</v>
      </c>
    </row>
    <row r="11" spans="1:11" customFormat="1" ht="21" customHeight="1" x14ac:dyDescent="0.25">
      <c r="A11" s="97" t="s">
        <v>30</v>
      </c>
      <c r="C11" s="345" t="s">
        <v>405</v>
      </c>
      <c r="D11" s="346"/>
      <c r="E11" s="347"/>
      <c r="J11" s="101" t="s">
        <v>31</v>
      </c>
    </row>
    <row r="12" spans="1:11" customFormat="1" ht="51.75" customHeight="1" x14ac:dyDescent="0.3">
      <c r="A12" s="94" t="s">
        <v>32</v>
      </c>
      <c r="C12" s="106">
        <v>14826</v>
      </c>
      <c r="D12" s="42"/>
      <c r="E12" s="43"/>
      <c r="J12" s="101" t="s">
        <v>33</v>
      </c>
    </row>
    <row r="13" spans="1:11" customFormat="1" ht="21" customHeight="1" x14ac:dyDescent="0.25">
      <c r="A13" s="96" t="s">
        <v>34</v>
      </c>
      <c r="B13" s="96"/>
      <c r="C13" s="107"/>
      <c r="D13" s="354" t="s">
        <v>35</v>
      </c>
      <c r="E13" s="355"/>
    </row>
    <row r="14" spans="1:11" customFormat="1" ht="21" customHeight="1" x14ac:dyDescent="0.25">
      <c r="A14" s="97" t="s">
        <v>36</v>
      </c>
      <c r="C14" s="339">
        <f>SourceData!B8</f>
        <v>0</v>
      </c>
      <c r="D14" s="340"/>
      <c r="E14" s="341"/>
      <c r="F14" s="108">
        <f>SUMIF(Faktorer!C20:C39,C14,Faktorer!D20:D39)</f>
        <v>0</v>
      </c>
      <c r="J14" s="101" t="s">
        <v>37</v>
      </c>
    </row>
    <row r="15" spans="1:11" customFormat="1" ht="21" customHeight="1" x14ac:dyDescent="0.25">
      <c r="A15" s="97" t="s">
        <v>38</v>
      </c>
      <c r="C15" s="348" t="s">
        <v>1250</v>
      </c>
      <c r="D15" s="349"/>
      <c r="E15" s="350"/>
      <c r="F15" s="108"/>
      <c r="J15" s="101" t="s">
        <v>39</v>
      </c>
    </row>
    <row r="16" spans="1:11" customFormat="1" ht="21" customHeight="1" x14ac:dyDescent="0.25">
      <c r="A16" s="97" t="s">
        <v>40</v>
      </c>
      <c r="C16" s="339" t="s">
        <v>1251</v>
      </c>
      <c r="D16" s="340"/>
      <c r="E16" s="341"/>
      <c r="J16" s="101" t="s">
        <v>41</v>
      </c>
    </row>
    <row r="17" spans="1:10" customFormat="1" ht="21" customHeight="1" x14ac:dyDescent="0.25">
      <c r="A17" s="97" t="s">
        <v>42</v>
      </c>
      <c r="C17" s="351"/>
      <c r="D17" s="352"/>
      <c r="E17" s="353"/>
      <c r="J17" s="101" t="s">
        <v>41</v>
      </c>
    </row>
    <row r="18" spans="1:10" customFormat="1" ht="21" customHeight="1" x14ac:dyDescent="0.25">
      <c r="B18" s="109"/>
      <c r="C18" s="92"/>
      <c r="D18" s="92"/>
    </row>
    <row r="19" spans="1:10" customFormat="1" ht="21" customHeight="1" x14ac:dyDescent="0.25">
      <c r="A19" s="110" t="s">
        <v>43</v>
      </c>
      <c r="B19" s="111"/>
      <c r="C19" s="111"/>
      <c r="D19" s="111"/>
      <c r="J19" s="101"/>
    </row>
    <row r="20" spans="1:10" customFormat="1" ht="21" customHeight="1" x14ac:dyDescent="0.25">
      <c r="A20" s="356"/>
      <c r="B20" s="356"/>
      <c r="C20" s="356"/>
      <c r="D20" s="356"/>
      <c r="E20" s="356"/>
      <c r="F20" s="356"/>
      <c r="G20" s="356"/>
      <c r="H20" s="356"/>
      <c r="J20" s="101"/>
    </row>
    <row r="21" spans="1:10" customFormat="1" ht="21" customHeight="1" x14ac:dyDescent="0.25">
      <c r="A21" s="112"/>
      <c r="B21" s="112"/>
      <c r="C21" s="112"/>
      <c r="D21" s="112"/>
      <c r="E21" s="112"/>
      <c r="F21" s="112"/>
      <c r="G21" s="112"/>
      <c r="H21" s="112"/>
      <c r="J21" s="101"/>
    </row>
    <row r="22" spans="1:10" customFormat="1" ht="21" customHeight="1" x14ac:dyDescent="0.25">
      <c r="A22" s="356"/>
      <c r="B22" s="356"/>
      <c r="C22" s="356"/>
      <c r="D22" s="356"/>
      <c r="E22" s="356"/>
      <c r="F22" s="356"/>
      <c r="G22" s="356"/>
      <c r="H22" s="356"/>
      <c r="J22" s="101"/>
    </row>
    <row r="23" spans="1:10" customFormat="1" ht="21" customHeight="1" x14ac:dyDescent="0.25">
      <c r="A23" s="356"/>
      <c r="B23" s="356"/>
      <c r="C23" s="356"/>
      <c r="D23" s="356"/>
      <c r="E23" s="356"/>
      <c r="F23" s="356"/>
      <c r="G23" s="356"/>
      <c r="H23" s="356"/>
      <c r="J23" s="101"/>
    </row>
    <row r="24" spans="1:10" customFormat="1" ht="18.75" customHeight="1" x14ac:dyDescent="0.25">
      <c r="A24" s="356"/>
      <c r="B24" s="356"/>
      <c r="C24" s="356"/>
      <c r="D24" s="356"/>
      <c r="E24" s="356"/>
      <c r="F24" s="356"/>
      <c r="G24" s="356"/>
      <c r="H24" s="356"/>
    </row>
    <row r="25" spans="1:10" customFormat="1" ht="18.75" customHeight="1" x14ac:dyDescent="0.35">
      <c r="A25" s="113"/>
    </row>
    <row r="26" spans="1:10" customFormat="1" ht="23.25" customHeight="1" x14ac:dyDescent="0.4">
      <c r="A26" s="114" t="s">
        <v>44</v>
      </c>
    </row>
    <row r="27" spans="1:10" customFormat="1" ht="13.5" customHeight="1" x14ac:dyDescent="0.3">
      <c r="A27" s="115"/>
    </row>
    <row r="28" spans="1:10" customFormat="1" ht="55.5" customHeight="1" x14ac:dyDescent="0.3">
      <c r="A28" s="357" t="s">
        <v>45</v>
      </c>
      <c r="B28" s="357"/>
      <c r="C28" s="357"/>
      <c r="D28" s="357"/>
      <c r="E28" s="357"/>
      <c r="F28" s="357"/>
      <c r="G28" s="357"/>
      <c r="H28" s="116"/>
    </row>
    <row r="29" spans="1:10" customFormat="1" ht="10.5" customHeight="1" x14ac:dyDescent="0.25">
      <c r="A29" s="117"/>
      <c r="B29" s="117"/>
      <c r="C29" s="117"/>
      <c r="D29" s="117"/>
      <c r="E29" s="117"/>
      <c r="F29" s="117"/>
      <c r="G29" s="117"/>
      <c r="J29" s="101"/>
    </row>
    <row r="30" spans="1:10" customFormat="1" ht="133.5" customHeight="1" x14ac:dyDescent="0.3">
      <c r="A30" s="358" t="s">
        <v>46</v>
      </c>
      <c r="B30" s="358"/>
      <c r="C30" s="358"/>
      <c r="D30" s="358"/>
      <c r="E30" s="358"/>
      <c r="F30" s="358"/>
      <c r="G30" s="358"/>
      <c r="H30" s="118"/>
      <c r="J30" s="119"/>
    </row>
    <row r="31" spans="1:10" customFormat="1" ht="9.75" customHeight="1" x14ac:dyDescent="0.25">
      <c r="A31" s="117"/>
      <c r="B31" s="117"/>
      <c r="C31" s="117"/>
      <c r="D31" s="117"/>
      <c r="E31" s="117"/>
      <c r="F31" s="117"/>
      <c r="G31" s="117"/>
      <c r="J31" s="101"/>
    </row>
    <row r="32" spans="1:10" customFormat="1" ht="20.25" customHeight="1" x14ac:dyDescent="0.3">
      <c r="A32" s="374" t="s">
        <v>47</v>
      </c>
      <c r="B32" s="374"/>
      <c r="C32" s="374"/>
      <c r="D32" s="374"/>
      <c r="E32" s="374"/>
      <c r="F32" s="374"/>
      <c r="G32" s="374"/>
      <c r="H32" s="120"/>
      <c r="J32" s="101"/>
    </row>
    <row r="33" spans="1:10" customFormat="1" ht="9.75" customHeight="1" x14ac:dyDescent="0.25">
      <c r="A33" s="117"/>
      <c r="B33" s="117"/>
      <c r="C33" s="117"/>
      <c r="D33" s="117"/>
      <c r="E33" s="117"/>
      <c r="F33" s="117"/>
      <c r="G33" s="117"/>
      <c r="J33" s="101"/>
    </row>
    <row r="34" spans="1:10" customFormat="1" ht="74.25" customHeight="1" x14ac:dyDescent="0.3">
      <c r="A34" s="376" t="s">
        <v>48</v>
      </c>
      <c r="B34" s="376"/>
      <c r="C34" s="376"/>
      <c r="D34" s="376"/>
      <c r="E34" s="376"/>
      <c r="F34" s="376"/>
      <c r="G34" s="376"/>
      <c r="H34" s="121"/>
    </row>
    <row r="35" spans="1:10" customFormat="1" ht="10.5" customHeight="1" x14ac:dyDescent="0.25">
      <c r="A35" s="117"/>
      <c r="B35" s="117"/>
      <c r="C35" s="117"/>
      <c r="D35" s="117"/>
      <c r="E35" s="117"/>
      <c r="F35" s="117"/>
      <c r="G35" s="117"/>
      <c r="J35" s="101"/>
    </row>
    <row r="36" spans="1:10" customFormat="1" ht="95.25" customHeight="1" x14ac:dyDescent="0.3">
      <c r="A36" s="377" t="s">
        <v>49</v>
      </c>
      <c r="B36" s="377"/>
      <c r="C36" s="377"/>
      <c r="D36" s="377"/>
      <c r="E36" s="377"/>
      <c r="F36" s="377"/>
      <c r="G36" s="377"/>
      <c r="H36" s="122"/>
    </row>
    <row r="37" spans="1:10" customFormat="1" ht="81.75" customHeight="1" x14ac:dyDescent="0.25">
      <c r="A37" s="117"/>
      <c r="B37" s="117"/>
    </row>
    <row r="38" spans="1:10" customFormat="1" ht="81.75" customHeight="1" x14ac:dyDescent="0.25">
      <c r="A38" s="117"/>
      <c r="B38" s="117"/>
    </row>
    <row r="39" spans="1:10" customFormat="1" ht="81.75" customHeight="1" x14ac:dyDescent="0.25">
      <c r="A39" s="117"/>
      <c r="B39" s="117"/>
    </row>
    <row r="41" spans="1:10" customFormat="1" ht="21" customHeight="1" x14ac:dyDescent="0.25">
      <c r="A41" s="123"/>
    </row>
    <row r="42" spans="1:10" customFormat="1" ht="21" customHeight="1" x14ac:dyDescent="0.25">
      <c r="A42" s="123"/>
    </row>
    <row r="43" spans="1:10" customFormat="1" ht="21" customHeight="1" x14ac:dyDescent="0.25">
      <c r="A43" s="123"/>
    </row>
    <row r="44" spans="1:10" customFormat="1" ht="21" customHeight="1" x14ac:dyDescent="0.35">
      <c r="A44" s="343" t="s">
        <v>50</v>
      </c>
      <c r="B44" s="343"/>
      <c r="C44" s="343"/>
      <c r="D44" s="343"/>
      <c r="E44" s="343"/>
      <c r="F44" s="343"/>
      <c r="G44" s="343"/>
      <c r="H44" s="343"/>
    </row>
    <row r="45" spans="1:10" customFormat="1" ht="21" customHeight="1" x14ac:dyDescent="0.3">
      <c r="A45" s="115"/>
      <c r="B45" s="115"/>
      <c r="C45" s="115"/>
      <c r="D45" s="115"/>
      <c r="E45" s="115"/>
      <c r="F45" s="115"/>
      <c r="G45" s="115"/>
      <c r="H45" s="115"/>
    </row>
    <row r="46" spans="1:10" customFormat="1" ht="21" customHeight="1" x14ac:dyDescent="0.35">
      <c r="A46" s="319" t="s">
        <v>51</v>
      </c>
      <c r="B46" s="319"/>
      <c r="C46" s="319"/>
      <c r="D46" s="319"/>
      <c r="E46" s="319"/>
      <c r="F46" s="319"/>
      <c r="G46" s="319"/>
      <c r="H46" s="319"/>
    </row>
    <row r="47" spans="1:10" customFormat="1" ht="21" customHeight="1" x14ac:dyDescent="0.25">
      <c r="A47" s="123" t="s">
        <v>52</v>
      </c>
    </row>
    <row r="48" spans="1:10" customFormat="1" ht="21" customHeight="1" x14ac:dyDescent="0.25">
      <c r="A48" s="13" t="s">
        <v>53</v>
      </c>
      <c r="B48" s="16" t="s">
        <v>54</v>
      </c>
      <c r="C48" s="16" t="s">
        <v>55</v>
      </c>
      <c r="D48" s="16" t="s">
        <v>56</v>
      </c>
    </row>
    <row r="49" spans="1:12" customFormat="1" ht="21" customHeight="1" x14ac:dyDescent="0.25">
      <c r="A49" s="21" t="s">
        <v>57</v>
      </c>
      <c r="B49" s="124"/>
      <c r="C49" s="124"/>
      <c r="D49" s="124"/>
      <c r="J49" s="101" t="s">
        <v>58</v>
      </c>
    </row>
    <row r="50" spans="1:12" customFormat="1" ht="21" customHeight="1" x14ac:dyDescent="0.25">
      <c r="A50" s="97" t="s">
        <v>59</v>
      </c>
      <c r="B50" s="344" t="s">
        <v>1252</v>
      </c>
      <c r="C50" s="344"/>
      <c r="D50" s="344"/>
      <c r="E50" s="344"/>
      <c r="F50" s="344"/>
      <c r="G50" s="344"/>
      <c r="H50" s="344"/>
      <c r="J50" s="101" t="s">
        <v>60</v>
      </c>
    </row>
    <row r="51" spans="1:12" customFormat="1" ht="21" customHeight="1" x14ac:dyDescent="0.25">
      <c r="J51" s="101"/>
    </row>
    <row r="52" spans="1:12" customFormat="1" ht="21" customHeight="1" x14ac:dyDescent="0.25">
      <c r="A52" s="123" t="s">
        <v>61</v>
      </c>
      <c r="B52" s="125"/>
      <c r="C52" s="125"/>
      <c r="D52" s="125"/>
      <c r="E52" s="125"/>
      <c r="F52" s="125"/>
      <c r="G52" s="125"/>
      <c r="H52" s="125"/>
      <c r="J52" s="101"/>
      <c r="L52" s="101"/>
    </row>
    <row r="53" spans="1:12" customFormat="1" ht="21" customHeight="1" x14ac:dyDescent="0.25">
      <c r="A53" s="123"/>
      <c r="B53" s="97" t="s">
        <v>62</v>
      </c>
      <c r="C53" s="97" t="s">
        <v>63</v>
      </c>
      <c r="D53" s="126" t="s">
        <v>64</v>
      </c>
      <c r="F53" s="125"/>
      <c r="G53" s="125"/>
      <c r="H53" s="125"/>
      <c r="J53" s="101" t="s">
        <v>65</v>
      </c>
      <c r="L53" s="101"/>
    </row>
    <row r="54" spans="1:12" customFormat="1" ht="21" customHeight="1" x14ac:dyDescent="0.25">
      <c r="A54" s="97" t="s">
        <v>66</v>
      </c>
      <c r="B54" s="127">
        <v>7</v>
      </c>
      <c r="C54" s="44">
        <f>IF(C$12&gt;0,B54/C$12*1000,"")</f>
        <v>0.47214353163361666</v>
      </c>
      <c r="D54" s="45">
        <f>IF(B54&gt;0,B54/B$57,"")</f>
        <v>0.28000000000000003</v>
      </c>
      <c r="F54" s="125"/>
      <c r="G54" s="125"/>
      <c r="H54" s="125"/>
      <c r="J54" s="101" t="s">
        <v>67</v>
      </c>
    </row>
    <row r="55" spans="1:12" customFormat="1" ht="21" customHeight="1" x14ac:dyDescent="0.25">
      <c r="A55" s="97" t="s">
        <v>68</v>
      </c>
      <c r="B55" s="127">
        <v>15</v>
      </c>
      <c r="C55" s="44">
        <f>IF(C$12&gt;0,B55/C$12*1000,"")</f>
        <v>1.0117361392148927</v>
      </c>
      <c r="D55" s="45">
        <f>IF(B55&gt;0,B55/B$57,"")</f>
        <v>0.6</v>
      </c>
      <c r="F55" s="125"/>
      <c r="G55" s="125"/>
      <c r="H55" s="125"/>
      <c r="J55" s="101" t="s">
        <v>69</v>
      </c>
      <c r="L55" s="101"/>
    </row>
    <row r="56" spans="1:12" customFormat="1" ht="21" customHeight="1" x14ac:dyDescent="0.25">
      <c r="A56" s="97" t="s">
        <v>70</v>
      </c>
      <c r="B56" s="127">
        <v>3</v>
      </c>
      <c r="C56" s="44">
        <f>IF(C$12&gt;0,B56/C$12*1000,"")</f>
        <v>0.20234722784297857</v>
      </c>
      <c r="D56" s="45">
        <f>IF(B56&gt;0,B56/B$57,"")</f>
        <v>0.12</v>
      </c>
      <c r="F56" s="125"/>
      <c r="G56" s="125"/>
      <c r="H56" s="125"/>
      <c r="J56" s="101" t="s">
        <v>71</v>
      </c>
      <c r="L56" s="101"/>
    </row>
    <row r="57" spans="1:12" customFormat="1" ht="21" customHeight="1" x14ac:dyDescent="0.25">
      <c r="A57" s="97" t="s">
        <v>72</v>
      </c>
      <c r="B57" s="20">
        <f>IF(B54+B55+B56&gt;0,SUM(B54:B56),"")</f>
        <v>25</v>
      </c>
      <c r="C57" s="44">
        <f>IF(AND(C12&gt;0,B57&lt;&gt;""),B57/C12*1000,"")</f>
        <v>1.6862268986914879</v>
      </c>
      <c r="D57" s="45">
        <f>IF(B56+B55+B54&gt;0,D54+D55+D56,"")</f>
        <v>1</v>
      </c>
      <c r="F57" s="125"/>
      <c r="G57" s="125"/>
      <c r="H57" s="125"/>
      <c r="J57" s="101" t="s">
        <v>73</v>
      </c>
    </row>
    <row r="58" spans="1:12" customFormat="1" ht="21" customHeight="1" x14ac:dyDescent="0.25">
      <c r="B58" s="123"/>
      <c r="C58" s="123"/>
      <c r="D58" s="123"/>
      <c r="E58" s="123"/>
      <c r="F58" s="123"/>
      <c r="G58" s="123"/>
      <c r="H58" s="123"/>
    </row>
    <row r="59" spans="1:12" customFormat="1" ht="21" customHeight="1" x14ac:dyDescent="0.25">
      <c r="A59" s="80" t="s">
        <v>74</v>
      </c>
      <c r="B59" s="16">
        <f>IF($C$9&gt;0,$C$9+2,"")</f>
        <v>2026</v>
      </c>
    </row>
    <row r="60" spans="1:12" customFormat="1" ht="21" customHeight="1" x14ac:dyDescent="0.25">
      <c r="A60" s="80" t="s">
        <v>75</v>
      </c>
      <c r="B60" s="128">
        <v>3.6</v>
      </c>
      <c r="C60" s="97" t="s">
        <v>76</v>
      </c>
      <c r="J60" s="101" t="s">
        <v>77</v>
      </c>
    </row>
    <row r="61" spans="1:12" customFormat="1" ht="21" customHeight="1" x14ac:dyDescent="0.25">
      <c r="A61" s="123"/>
    </row>
    <row r="62" spans="1:12" customFormat="1" ht="21" customHeight="1" x14ac:dyDescent="0.25">
      <c r="A62" s="123" t="s">
        <v>78</v>
      </c>
      <c r="J62" s="101" t="s">
        <v>79</v>
      </c>
    </row>
    <row r="63" spans="1:12" customFormat="1" ht="21" customHeight="1" x14ac:dyDescent="0.25">
      <c r="A63" s="97" t="s">
        <v>80</v>
      </c>
      <c r="B63" s="129">
        <v>0.35</v>
      </c>
      <c r="C63" s="97" t="s">
        <v>81</v>
      </c>
      <c r="J63" s="101" t="s">
        <v>82</v>
      </c>
    </row>
    <row r="64" spans="1:12" customFormat="1" ht="21" customHeight="1" x14ac:dyDescent="0.25">
      <c r="A64" s="97" t="s">
        <v>83</v>
      </c>
      <c r="B64" s="130" t="s">
        <v>1253</v>
      </c>
      <c r="C64" s="97" t="s">
        <v>84</v>
      </c>
      <c r="J64" s="101" t="s">
        <v>85</v>
      </c>
    </row>
    <row r="65" spans="1:10" customFormat="1" ht="21" customHeight="1" x14ac:dyDescent="0.25">
      <c r="A65" s="97" t="s">
        <v>86</v>
      </c>
      <c r="B65" s="129">
        <v>0.6</v>
      </c>
      <c r="C65" s="97" t="s">
        <v>87</v>
      </c>
      <c r="J65" s="101" t="s">
        <v>88</v>
      </c>
    </row>
    <row r="66" spans="1:10" customFormat="1" ht="21" customHeight="1" x14ac:dyDescent="0.25">
      <c r="A66" s="97" t="s">
        <v>89</v>
      </c>
      <c r="B66" s="127"/>
      <c r="C66" s="97" t="s">
        <v>90</v>
      </c>
      <c r="J66" s="101" t="s">
        <v>91</v>
      </c>
    </row>
    <row r="67" spans="1:10" customFormat="1" ht="21" customHeight="1" x14ac:dyDescent="0.25">
      <c r="A67" s="123"/>
      <c r="B67" s="131"/>
    </row>
    <row r="68" spans="1:10" customFormat="1" ht="21" customHeight="1" x14ac:dyDescent="0.25">
      <c r="A68" s="132" t="s">
        <v>92</v>
      </c>
      <c r="B68" s="111"/>
      <c r="C68" s="111"/>
      <c r="D68" s="111"/>
      <c r="J68" s="101"/>
    </row>
    <row r="69" spans="1:10" customFormat="1" ht="21" customHeight="1" x14ac:dyDescent="0.25">
      <c r="A69" s="378" t="s">
        <v>1254</v>
      </c>
      <c r="B69" s="379"/>
      <c r="C69" s="379"/>
      <c r="D69" s="379"/>
      <c r="E69" s="379"/>
      <c r="F69" s="379"/>
      <c r="G69" s="379"/>
      <c r="H69" s="379"/>
      <c r="J69" s="101"/>
    </row>
    <row r="70" spans="1:10" customFormat="1" ht="21" customHeight="1" x14ac:dyDescent="0.25">
      <c r="A70" s="380"/>
      <c r="B70" s="381"/>
      <c r="C70" s="381"/>
      <c r="D70" s="381"/>
      <c r="E70" s="381"/>
      <c r="F70" s="381"/>
      <c r="G70" s="381"/>
      <c r="H70" s="381"/>
      <c r="J70" s="101"/>
    </row>
    <row r="71" spans="1:10" customFormat="1" ht="21" customHeight="1" x14ac:dyDescent="0.25">
      <c r="A71" s="123"/>
      <c r="B71" s="131"/>
    </row>
    <row r="72" spans="1:10" customFormat="1" ht="21" customHeight="1" x14ac:dyDescent="0.35">
      <c r="A72" s="319" t="s">
        <v>93</v>
      </c>
      <c r="B72" s="319"/>
      <c r="C72" s="319"/>
      <c r="D72" s="319"/>
      <c r="E72" s="319"/>
      <c r="F72" s="319"/>
      <c r="G72" s="319"/>
      <c r="H72" s="319"/>
    </row>
    <row r="73" spans="1:10" customFormat="1" ht="21" customHeight="1" x14ac:dyDescent="0.25">
      <c r="A73" s="133" t="s">
        <v>94</v>
      </c>
      <c r="B73" s="311" t="s">
        <v>95</v>
      </c>
      <c r="C73" s="312"/>
      <c r="D73" s="312"/>
      <c r="E73" s="313"/>
      <c r="F73" s="129">
        <v>0.05</v>
      </c>
      <c r="G73" s="97" t="s">
        <v>96</v>
      </c>
      <c r="J73" s="101" t="s">
        <v>97</v>
      </c>
    </row>
    <row r="74" spans="1:10" customFormat="1" ht="21" customHeight="1" x14ac:dyDescent="0.25">
      <c r="A74" s="134" t="s">
        <v>98</v>
      </c>
      <c r="B74" s="311" t="s">
        <v>95</v>
      </c>
      <c r="C74" s="312"/>
      <c r="D74" s="312"/>
      <c r="E74" s="313"/>
      <c r="F74" s="135">
        <v>0.01</v>
      </c>
      <c r="G74" s="97" t="s">
        <v>96</v>
      </c>
      <c r="J74" s="101" t="s">
        <v>97</v>
      </c>
    </row>
    <row r="75" spans="1:10" customFormat="1" ht="21" customHeight="1" x14ac:dyDescent="0.25">
      <c r="A75" s="134" t="s">
        <v>94</v>
      </c>
      <c r="B75" s="311" t="s">
        <v>99</v>
      </c>
      <c r="C75" s="312"/>
      <c r="D75" s="312"/>
      <c r="E75" s="313"/>
      <c r="F75" s="135">
        <v>0.7</v>
      </c>
      <c r="G75" s="97" t="s">
        <v>96</v>
      </c>
      <c r="J75" s="101" t="s">
        <v>100</v>
      </c>
    </row>
    <row r="76" spans="1:10" customFormat="1" ht="21" customHeight="1" x14ac:dyDescent="0.25">
      <c r="A76" s="134" t="s">
        <v>94</v>
      </c>
      <c r="B76" s="311" t="s">
        <v>101</v>
      </c>
      <c r="C76" s="312"/>
      <c r="D76" s="312"/>
      <c r="E76" s="313"/>
      <c r="F76" s="127">
        <v>15000</v>
      </c>
      <c r="G76" s="97" t="s">
        <v>102</v>
      </c>
      <c r="J76" s="101" t="s">
        <v>103</v>
      </c>
    </row>
    <row r="77" spans="1:10" customFormat="1" ht="21" customHeight="1" x14ac:dyDescent="0.25">
      <c r="A77" s="123"/>
      <c r="B77" s="136"/>
    </row>
    <row r="78" spans="1:10" customFormat="1" ht="21" customHeight="1" x14ac:dyDescent="0.35">
      <c r="A78" s="338" t="s">
        <v>104</v>
      </c>
      <c r="B78" s="338"/>
      <c r="C78" s="338"/>
      <c r="D78" s="338"/>
      <c r="E78" s="338"/>
      <c r="F78" s="338"/>
      <c r="G78" s="338"/>
      <c r="H78" s="338"/>
    </row>
    <row r="79" spans="1:10" customFormat="1" ht="12" customHeight="1" x14ac:dyDescent="0.3">
      <c r="A79" s="115"/>
      <c r="B79" s="115"/>
      <c r="C79" s="115"/>
      <c r="D79" s="115"/>
      <c r="E79" s="115"/>
      <c r="F79" s="115"/>
      <c r="G79" s="115"/>
      <c r="H79" s="115"/>
    </row>
    <row r="80" spans="1:10" customFormat="1" ht="21" customHeight="1" x14ac:dyDescent="0.35">
      <c r="A80" s="113" t="s">
        <v>105</v>
      </c>
      <c r="J80" s="101"/>
    </row>
    <row r="81" spans="1:10" customFormat="1" ht="21" customHeight="1" x14ac:dyDescent="0.25">
      <c r="A81" s="101" t="s">
        <v>106</v>
      </c>
    </row>
    <row r="82" spans="1:10" customFormat="1" ht="21" customHeight="1" x14ac:dyDescent="0.3">
      <c r="A82" s="137" t="s">
        <v>107</v>
      </c>
      <c r="J82" s="138" t="s">
        <v>108</v>
      </c>
    </row>
    <row r="83" spans="1:10" customFormat="1" ht="21" customHeight="1" x14ac:dyDescent="0.25">
      <c r="A83" s="101" t="s">
        <v>109</v>
      </c>
      <c r="J83" s="139" t="s">
        <v>110</v>
      </c>
    </row>
    <row r="84" spans="1:10" customFormat="1" ht="21" customHeight="1" x14ac:dyDescent="0.25">
      <c r="A84" s="13" t="s">
        <v>111</v>
      </c>
      <c r="B84" s="16">
        <f>IF($C$9&gt;0,$C$9-3,"")</f>
        <v>2021</v>
      </c>
      <c r="C84" s="16">
        <f>IF($C$9&gt;0,$C$9-2,"")</f>
        <v>2022</v>
      </c>
      <c r="D84" s="16">
        <f>IF($C$9&gt;0,$C$9-1,"")</f>
        <v>2023</v>
      </c>
    </row>
    <row r="85" spans="1:10" customFormat="1" ht="21" customHeight="1" x14ac:dyDescent="0.25">
      <c r="A85" s="21" t="s">
        <v>66</v>
      </c>
      <c r="B85" s="140">
        <v>3</v>
      </c>
      <c r="C85" s="140">
        <v>4</v>
      </c>
      <c r="D85" s="140">
        <v>4</v>
      </c>
      <c r="J85" s="101" t="s">
        <v>112</v>
      </c>
    </row>
    <row r="86" spans="1:10" customFormat="1" ht="21" customHeight="1" x14ac:dyDescent="0.25">
      <c r="A86" s="21" t="s">
        <v>113</v>
      </c>
      <c r="B86" s="140">
        <v>4</v>
      </c>
      <c r="C86" s="140">
        <v>4</v>
      </c>
      <c r="D86" s="140">
        <v>2</v>
      </c>
      <c r="J86" s="101" t="s">
        <v>112</v>
      </c>
    </row>
    <row r="87" spans="1:10" customFormat="1" ht="21" customHeight="1" x14ac:dyDescent="0.25">
      <c r="A87" s="21" t="s">
        <v>70</v>
      </c>
      <c r="B87" s="140">
        <v>9</v>
      </c>
      <c r="C87" s="140">
        <v>9</v>
      </c>
      <c r="D87" s="140">
        <v>7</v>
      </c>
      <c r="J87" s="101" t="s">
        <v>112</v>
      </c>
    </row>
    <row r="88" spans="1:10" customFormat="1" ht="21" customHeight="1" x14ac:dyDescent="0.25">
      <c r="A88" s="21" t="s">
        <v>72</v>
      </c>
      <c r="B88" s="20">
        <f>IF(B85+B86+B87&gt;0,SUM(B85:B87),"")</f>
        <v>16</v>
      </c>
      <c r="C88" s="20">
        <f>IF(C85+C86+C87&gt;0,SUM(C85:C87),"")</f>
        <v>17</v>
      </c>
      <c r="D88" s="20">
        <f>IF(D85+D86+D87&gt;0,SUM(D85:D87),"")</f>
        <v>13</v>
      </c>
      <c r="J88" s="101" t="s">
        <v>114</v>
      </c>
    </row>
    <row r="89" spans="1:10" customFormat="1" ht="21" customHeight="1" x14ac:dyDescent="0.25">
      <c r="A89" s="21" t="s">
        <v>115</v>
      </c>
      <c r="B89" s="25">
        <f>IF(B90&gt;0,(B88/B90)*1000,"")</f>
        <v>1.0834236186348862</v>
      </c>
      <c r="C89" s="25">
        <f>IF(C90&gt;0,(C88/C90)*1000,"")</f>
        <v>1.1349222244475599</v>
      </c>
      <c r="D89" s="25">
        <f>IF(D90&gt;0,(D88/D90)*1000,"")</f>
        <v>0.86327113354140383</v>
      </c>
      <c r="J89" s="101" t="s">
        <v>116</v>
      </c>
    </row>
    <row r="90" spans="1:10" customFormat="1" ht="21" customHeight="1" x14ac:dyDescent="0.25">
      <c r="A90" s="97" t="s">
        <v>117</v>
      </c>
      <c r="B90" s="141">
        <v>14768</v>
      </c>
      <c r="C90" s="141">
        <v>14979</v>
      </c>
      <c r="D90" s="141">
        <v>15059</v>
      </c>
      <c r="J90" s="101" t="s">
        <v>118</v>
      </c>
    </row>
    <row r="91" spans="1:10" customFormat="1" ht="21" customHeight="1" x14ac:dyDescent="0.25">
      <c r="A91" s="142" t="s">
        <v>119</v>
      </c>
    </row>
    <row r="92" spans="1:10" customFormat="1" ht="21" customHeight="1" x14ac:dyDescent="0.25">
      <c r="A92" s="13" t="s">
        <v>111</v>
      </c>
      <c r="B92" s="16">
        <f>IF($C$9&gt;0,$C$9-3,"")</f>
        <v>2021</v>
      </c>
      <c r="C92" s="16">
        <f>IF($C$9&gt;0,$C$9-2,"")</f>
        <v>2022</v>
      </c>
      <c r="D92" s="16">
        <f>IF($C$9&gt;0,$C$9-1,"")</f>
        <v>2023</v>
      </c>
    </row>
    <row r="93" spans="1:10" customFormat="1" ht="21" customHeight="1" x14ac:dyDescent="0.25">
      <c r="A93" s="21" t="s">
        <v>120</v>
      </c>
      <c r="B93" s="34">
        <f>IF(B85+B86&gt;0,B85/(B85+B86),"")</f>
        <v>0.42857142857142855</v>
      </c>
      <c r="C93" s="34">
        <f>IF(C85+C86&gt;0,C85/(C85+C86),"")</f>
        <v>0.5</v>
      </c>
      <c r="D93" s="34">
        <f>IF(D85+D86&gt;0,D85/(D85+D86),"")</f>
        <v>0.66666666666666663</v>
      </c>
      <c r="J93" s="101" t="s">
        <v>121</v>
      </c>
    </row>
    <row r="94" spans="1:10" customFormat="1" ht="21" customHeight="1" x14ac:dyDescent="0.25">
      <c r="A94" s="21" t="s">
        <v>122</v>
      </c>
      <c r="B94" s="34">
        <f>IF(B87&gt;0,B87/B88,"")</f>
        <v>0.5625</v>
      </c>
      <c r="C94" s="34">
        <f>IF(C87&gt;0,C87/C88,"")</f>
        <v>0.52941176470588236</v>
      </c>
      <c r="D94" s="34">
        <f>IF(D87&gt;0,D87/D88,"")</f>
        <v>0.53846153846153844</v>
      </c>
      <c r="J94" s="101" t="s">
        <v>121</v>
      </c>
    </row>
    <row r="95" spans="1:10" customFormat="1" ht="21" customHeight="1" x14ac:dyDescent="0.25">
      <c r="A95" s="132" t="s">
        <v>123</v>
      </c>
      <c r="B95" s="111"/>
      <c r="C95" s="111"/>
      <c r="D95" s="111"/>
    </row>
    <row r="96" spans="1:10" customFormat="1" ht="21" customHeight="1" x14ac:dyDescent="0.25">
      <c r="A96" s="342" t="s">
        <v>1257</v>
      </c>
      <c r="B96" s="322"/>
      <c r="C96" s="322"/>
      <c r="D96" s="322"/>
      <c r="E96" s="322"/>
      <c r="F96" s="322"/>
      <c r="G96" s="322"/>
      <c r="H96" s="322"/>
    </row>
    <row r="97" spans="1:10" customFormat="1" ht="21" customHeight="1" x14ac:dyDescent="0.25">
      <c r="A97" s="326"/>
      <c r="B97" s="324"/>
      <c r="C97" s="324"/>
      <c r="D97" s="324"/>
      <c r="E97" s="324"/>
      <c r="F97" s="324"/>
      <c r="G97" s="324"/>
      <c r="H97" s="324"/>
    </row>
    <row r="98" spans="1:10" customFormat="1" ht="12" customHeight="1" x14ac:dyDescent="0.25"/>
    <row r="99" spans="1:10" customFormat="1" ht="21" customHeight="1" x14ac:dyDescent="0.3">
      <c r="A99" s="137" t="s">
        <v>124</v>
      </c>
      <c r="F99" s="143"/>
      <c r="J99" s="138" t="s">
        <v>108</v>
      </c>
    </row>
    <row r="100" spans="1:10" customFormat="1" ht="21" customHeight="1" x14ac:dyDescent="0.25">
      <c r="A100" s="101" t="s">
        <v>125</v>
      </c>
      <c r="F100" s="126"/>
      <c r="J100" s="139" t="s">
        <v>110</v>
      </c>
    </row>
    <row r="101" spans="1:10" customFormat="1" ht="21" customHeight="1" x14ac:dyDescent="0.25">
      <c r="A101" s="13" t="s">
        <v>111</v>
      </c>
      <c r="B101" s="16">
        <f>IF($C$9&gt;0,$C$9-4,"")</f>
        <v>2020</v>
      </c>
      <c r="C101" s="16">
        <f>IF($C$9&gt;0,$C$9-3,"")</f>
        <v>2021</v>
      </c>
      <c r="D101" s="16">
        <f>IF($C$9&gt;0,$C$9-2,"")</f>
        <v>2022</v>
      </c>
      <c r="E101" s="16">
        <f>IF($C$9&gt;0,$C$9-1,"")</f>
        <v>2023</v>
      </c>
      <c r="F101" s="17" t="s">
        <v>126</v>
      </c>
    </row>
    <row r="102" spans="1:10" customFormat="1" ht="21" customHeight="1" x14ac:dyDescent="0.25">
      <c r="A102" s="21" t="s">
        <v>127</v>
      </c>
      <c r="B102" s="141">
        <v>4200</v>
      </c>
      <c r="C102" s="141">
        <v>2831</v>
      </c>
      <c r="D102" s="141">
        <v>3052</v>
      </c>
      <c r="E102" s="141">
        <v>3115</v>
      </c>
      <c r="F102" s="84">
        <f>IF((SUM(C102:E102)&gt;0),AVERAGE(C102:E102),"")</f>
        <v>2999.3333333333335</v>
      </c>
      <c r="J102" s="144" t="s">
        <v>128</v>
      </c>
    </row>
    <row r="103" spans="1:10" customFormat="1" ht="21" customHeight="1" x14ac:dyDescent="0.25">
      <c r="A103" s="21" t="s">
        <v>129</v>
      </c>
      <c r="B103" s="145">
        <v>3.9E-2</v>
      </c>
      <c r="C103" s="145">
        <v>4.3999999999999997E-2</v>
      </c>
      <c r="D103" s="145">
        <v>3.9E-2</v>
      </c>
      <c r="E103" s="145">
        <v>3.1E-2</v>
      </c>
      <c r="F103" s="85">
        <f>IF((SUM(C103:E103)&gt;0),AVERAGE(C103:E103),"")</f>
        <v>3.7999999999999999E-2</v>
      </c>
      <c r="J103" s="101" t="s">
        <v>130</v>
      </c>
    </row>
    <row r="104" spans="1:10" customFormat="1" ht="21" customHeight="1" x14ac:dyDescent="0.25">
      <c r="A104" s="21" t="s">
        <v>131</v>
      </c>
      <c r="B104" s="145">
        <v>0.48199999999999998</v>
      </c>
      <c r="C104" s="145">
        <v>0.95499999999999996</v>
      </c>
      <c r="D104" s="145">
        <v>0.61</v>
      </c>
      <c r="E104" s="145">
        <v>0.53</v>
      </c>
      <c r="F104" s="86">
        <f>IF((SUM(C104:E104)&gt;0),AVERAGE(C104:E104),"")</f>
        <v>0.69833333333333325</v>
      </c>
      <c r="J104" s="101" t="s">
        <v>132</v>
      </c>
    </row>
    <row r="105" spans="1:10" customFormat="1" ht="21" customHeight="1" x14ac:dyDescent="0.25">
      <c r="A105" s="21" t="s">
        <v>133</v>
      </c>
      <c r="B105" s="146">
        <v>0.31</v>
      </c>
      <c r="C105" s="146">
        <v>0.39</v>
      </c>
      <c r="D105" s="146">
        <v>0.48</v>
      </c>
      <c r="E105" s="146">
        <v>0.36</v>
      </c>
      <c r="F105" s="87">
        <f>IF((SUM(C105:E105)&gt;0),AVERAGE(C105:E105),"")</f>
        <v>0.41</v>
      </c>
      <c r="J105" s="101" t="s">
        <v>134</v>
      </c>
    </row>
    <row r="106" spans="1:10" customFormat="1" ht="21" customHeight="1" x14ac:dyDescent="0.25">
      <c r="A106" s="132" t="s">
        <v>123</v>
      </c>
      <c r="B106" s="111"/>
      <c r="C106" s="111"/>
      <c r="D106" s="111"/>
      <c r="G106" s="123"/>
    </row>
    <row r="107" spans="1:10" customFormat="1" ht="21" customHeight="1" x14ac:dyDescent="0.25">
      <c r="A107" s="342"/>
      <c r="B107" s="322"/>
      <c r="C107" s="322"/>
      <c r="D107" s="322"/>
      <c r="E107" s="322"/>
      <c r="F107" s="322"/>
      <c r="G107" s="322"/>
      <c r="H107" s="322"/>
    </row>
    <row r="108" spans="1:10" customFormat="1" ht="21" customHeight="1" x14ac:dyDescent="0.25">
      <c r="A108" s="326"/>
      <c r="B108" s="324"/>
      <c r="C108" s="324"/>
      <c r="D108" s="324"/>
      <c r="E108" s="324"/>
      <c r="F108" s="324"/>
      <c r="G108" s="324"/>
      <c r="H108" s="324"/>
    </row>
    <row r="109" spans="1:10" customFormat="1" ht="12" customHeight="1" x14ac:dyDescent="0.25"/>
    <row r="110" spans="1:10" customFormat="1" ht="21" customHeight="1" x14ac:dyDescent="0.3">
      <c r="A110" s="137" t="s">
        <v>135</v>
      </c>
      <c r="J110" s="138" t="s">
        <v>108</v>
      </c>
    </row>
    <row r="111" spans="1:10" customFormat="1" ht="21" customHeight="1" x14ac:dyDescent="0.25">
      <c r="A111" s="13" t="s">
        <v>111</v>
      </c>
      <c r="B111" s="15">
        <f>IF($C$9&gt;0,$C$9-5,"")</f>
        <v>2019</v>
      </c>
      <c r="C111" s="16">
        <f>IF($C$9&gt;0,$C$9-4,"")</f>
        <v>2020</v>
      </c>
      <c r="D111" s="16">
        <f>IF($C$9&gt;0,$C$9-3,"")</f>
        <v>2021</v>
      </c>
      <c r="E111" s="16">
        <f>IF($C$9&gt;0,$C$9-2,"")</f>
        <v>2022</v>
      </c>
      <c r="F111" s="16">
        <f>IF($C$9&gt;0,$C$9-1,"")</f>
        <v>2023</v>
      </c>
      <c r="G111" s="16">
        <f>IF($C$9&gt;0,$C$9,"")</f>
        <v>2024</v>
      </c>
      <c r="J111" s="139" t="s">
        <v>110</v>
      </c>
    </row>
    <row r="112" spans="1:10" customFormat="1" ht="21" customHeight="1" x14ac:dyDescent="0.25">
      <c r="A112" s="21" t="s">
        <v>136</v>
      </c>
      <c r="B112" s="147">
        <v>473</v>
      </c>
      <c r="C112" s="147">
        <v>442</v>
      </c>
      <c r="D112" s="147">
        <v>388</v>
      </c>
      <c r="E112" s="147">
        <v>383</v>
      </c>
      <c r="F112" s="147">
        <v>369</v>
      </c>
      <c r="G112" s="147">
        <v>422</v>
      </c>
      <c r="J112" s="101" t="s">
        <v>137</v>
      </c>
    </row>
    <row r="113" spans="1:10" customFormat="1" ht="21" customHeight="1" x14ac:dyDescent="0.25">
      <c r="A113" s="21" t="s">
        <v>138</v>
      </c>
      <c r="B113" s="147">
        <v>170</v>
      </c>
      <c r="C113" s="147">
        <v>170</v>
      </c>
      <c r="D113" s="147">
        <v>170</v>
      </c>
      <c r="E113" s="147">
        <v>170</v>
      </c>
      <c r="F113" s="147">
        <v>170</v>
      </c>
      <c r="G113" s="147">
        <v>170</v>
      </c>
      <c r="J113" s="101" t="s">
        <v>139</v>
      </c>
    </row>
    <row r="114" spans="1:10" customFormat="1" ht="21" customHeight="1" x14ac:dyDescent="0.25">
      <c r="A114" s="21" t="s">
        <v>140</v>
      </c>
      <c r="B114" s="147">
        <v>48</v>
      </c>
      <c r="C114" s="147">
        <v>21</v>
      </c>
      <c r="D114" s="147">
        <v>30</v>
      </c>
      <c r="E114" s="147">
        <v>20</v>
      </c>
      <c r="F114" s="147">
        <v>16</v>
      </c>
      <c r="G114" s="147">
        <v>20</v>
      </c>
      <c r="J114" s="101" t="s">
        <v>141</v>
      </c>
    </row>
    <row r="115" spans="1:10" customFormat="1" ht="21" customHeight="1" x14ac:dyDescent="0.25">
      <c r="A115" s="21" t="s">
        <v>142</v>
      </c>
      <c r="B115" s="147">
        <v>17</v>
      </c>
      <c r="C115" s="127">
        <v>17</v>
      </c>
      <c r="D115" s="127">
        <v>17</v>
      </c>
      <c r="E115" s="127">
        <v>17</v>
      </c>
      <c r="F115" s="127">
        <v>17</v>
      </c>
      <c r="G115" s="127">
        <v>17</v>
      </c>
      <c r="J115" s="101" t="s">
        <v>143</v>
      </c>
    </row>
    <row r="116" spans="1:10" customFormat="1" ht="21" customHeight="1" x14ac:dyDescent="0.25">
      <c r="A116" s="21" t="s">
        <v>144</v>
      </c>
      <c r="B116" s="51">
        <f t="shared" ref="B116:G116" si="0">B114/B112</f>
        <v>0.1014799154334038</v>
      </c>
      <c r="C116" s="51">
        <f t="shared" si="0"/>
        <v>4.7511312217194568E-2</v>
      </c>
      <c r="D116" s="51">
        <f t="shared" si="0"/>
        <v>7.7319587628865982E-2</v>
      </c>
      <c r="E116" s="51">
        <f t="shared" si="0"/>
        <v>5.2219321148825062E-2</v>
      </c>
      <c r="F116" s="51">
        <f t="shared" si="0"/>
        <v>4.3360433604336043E-2</v>
      </c>
      <c r="G116" s="51">
        <f t="shared" si="0"/>
        <v>4.7393364928909949E-2</v>
      </c>
      <c r="J116" s="101" t="s">
        <v>145</v>
      </c>
    </row>
    <row r="117" spans="1:10" customFormat="1" ht="21" customHeight="1" x14ac:dyDescent="0.25">
      <c r="A117" s="21" t="s">
        <v>146</v>
      </c>
      <c r="B117" s="148"/>
      <c r="C117" s="148"/>
      <c r="D117" s="148"/>
      <c r="E117" s="148"/>
      <c r="F117" s="148"/>
      <c r="G117" s="148"/>
      <c r="J117" s="101" t="s">
        <v>147</v>
      </c>
    </row>
    <row r="118" spans="1:10" customFormat="1" ht="21" customHeight="1" x14ac:dyDescent="0.25">
      <c r="A118" s="21" t="s">
        <v>148</v>
      </c>
      <c r="B118" s="148"/>
      <c r="C118" s="148"/>
      <c r="D118" s="148"/>
      <c r="E118" s="148"/>
      <c r="F118" s="148"/>
      <c r="G118" s="148"/>
      <c r="J118" s="101" t="s">
        <v>149</v>
      </c>
    </row>
    <row r="119" spans="1:10" customFormat="1" ht="21" customHeight="1" x14ac:dyDescent="0.25">
      <c r="A119" s="21" t="s">
        <v>150</v>
      </c>
      <c r="B119" s="52">
        <f t="shared" ref="B119:G119" si="1">(B114*100000)/(B112*B113*B115)</f>
        <v>3.511415758941308</v>
      </c>
      <c r="C119" s="52">
        <f t="shared" si="1"/>
        <v>1.6439900421174591</v>
      </c>
      <c r="D119" s="52">
        <f t="shared" si="1"/>
        <v>2.675418257054186</v>
      </c>
      <c r="E119" s="52">
        <f t="shared" si="1"/>
        <v>1.8068969255648812</v>
      </c>
      <c r="F119" s="52">
        <f t="shared" si="1"/>
        <v>1.5003610243714893</v>
      </c>
      <c r="G119" s="52">
        <f t="shared" si="1"/>
        <v>1.6399088210695485</v>
      </c>
      <c r="J119" s="101" t="s">
        <v>151</v>
      </c>
    </row>
    <row r="120" spans="1:10" customFormat="1" ht="21" customHeight="1" x14ac:dyDescent="0.25">
      <c r="A120" s="21" t="s">
        <v>150</v>
      </c>
      <c r="B120" s="148"/>
      <c r="C120" s="148"/>
      <c r="D120" s="148"/>
      <c r="E120" s="148"/>
      <c r="F120" s="148"/>
      <c r="G120" s="148"/>
      <c r="J120" s="101" t="s">
        <v>152</v>
      </c>
    </row>
    <row r="121" spans="1:10" customFormat="1" ht="21" customHeight="1" x14ac:dyDescent="0.25">
      <c r="A121" s="132" t="s">
        <v>123</v>
      </c>
      <c r="B121" s="111"/>
      <c r="C121" s="111"/>
      <c r="D121" s="111"/>
    </row>
    <row r="122" spans="1:10" customFormat="1" ht="21" customHeight="1" x14ac:dyDescent="0.25">
      <c r="A122" s="342" t="s">
        <v>1255</v>
      </c>
      <c r="B122" s="322"/>
      <c r="C122" s="322"/>
      <c r="D122" s="322"/>
      <c r="E122" s="322"/>
      <c r="F122" s="322"/>
      <c r="G122" s="322"/>
      <c r="H122" s="322"/>
    </row>
    <row r="123" spans="1:10" customFormat="1" ht="21" customHeight="1" x14ac:dyDescent="0.25">
      <c r="A123" s="326"/>
      <c r="B123" s="324"/>
      <c r="C123" s="324"/>
      <c r="D123" s="324"/>
      <c r="E123" s="324"/>
      <c r="F123" s="324"/>
      <c r="G123" s="324"/>
      <c r="H123" s="324"/>
    </row>
    <row r="124" spans="1:10" customFormat="1" ht="21" customHeight="1" x14ac:dyDescent="0.35">
      <c r="A124" s="338" t="s">
        <v>153</v>
      </c>
      <c r="B124" s="338"/>
      <c r="C124" s="338"/>
      <c r="D124" s="338"/>
      <c r="E124" s="338"/>
      <c r="F124" s="338"/>
      <c r="G124" s="338"/>
      <c r="H124" s="338"/>
    </row>
    <row r="125" spans="1:10" customFormat="1" ht="12" customHeight="1" x14ac:dyDescent="0.25"/>
    <row r="126" spans="1:10" customFormat="1" ht="21" customHeight="1" x14ac:dyDescent="0.3">
      <c r="A126" s="137" t="s">
        <v>154</v>
      </c>
      <c r="J126" s="138" t="s">
        <v>108</v>
      </c>
    </row>
    <row r="127" spans="1:10" customFormat="1" ht="21" customHeight="1" x14ac:dyDescent="0.25">
      <c r="A127" s="101" t="s">
        <v>155</v>
      </c>
      <c r="J127" s="139" t="s">
        <v>110</v>
      </c>
    </row>
    <row r="128" spans="1:10" customFormat="1" ht="21" customHeight="1" x14ac:dyDescent="0.25">
      <c r="A128" s="13" t="s">
        <v>111</v>
      </c>
      <c r="B128" s="15">
        <f>IF($C$9&gt;0,$C$9-5,"")</f>
        <v>2019</v>
      </c>
      <c r="C128" s="16">
        <f>IF($C$9&gt;0,$C$9-4,"")</f>
        <v>2020</v>
      </c>
      <c r="D128" s="16">
        <f>IF($C$9&gt;0,$C$9-3,"")</f>
        <v>2021</v>
      </c>
      <c r="E128" s="16">
        <f>IF($C$9&gt;0,$C$9-2,"")</f>
        <v>2022</v>
      </c>
      <c r="F128" s="16">
        <f>IF($C$9&gt;0,$C$9-1,"")</f>
        <v>2023</v>
      </c>
    </row>
    <row r="129" spans="1:12" customFormat="1" ht="21" customHeight="1" x14ac:dyDescent="0.25">
      <c r="A129" s="21" t="s">
        <v>156</v>
      </c>
      <c r="B129" s="149"/>
      <c r="C129" s="150"/>
      <c r="D129" s="150">
        <v>6</v>
      </c>
      <c r="E129" s="150">
        <v>9</v>
      </c>
      <c r="F129" s="150">
        <v>7</v>
      </c>
    </row>
    <row r="130" spans="1:12" customFormat="1" ht="21" customHeight="1" x14ac:dyDescent="0.25">
      <c r="A130" s="21" t="s">
        <v>157</v>
      </c>
      <c r="B130" s="149">
        <f>SourceData!B38</f>
        <v>0</v>
      </c>
      <c r="C130" s="149">
        <f>SourceData!C38</f>
        <v>0</v>
      </c>
      <c r="D130" s="149">
        <f>SourceData!D38</f>
        <v>0</v>
      </c>
      <c r="E130" s="149">
        <f>SourceData!E38</f>
        <v>0</v>
      </c>
      <c r="F130" s="149">
        <f>SourceData!F38</f>
        <v>0</v>
      </c>
      <c r="J130" s="101" t="s">
        <v>158</v>
      </c>
    </row>
    <row r="131" spans="1:12" customFormat="1" ht="21" customHeight="1" x14ac:dyDescent="0.25">
      <c r="A131" s="21" t="s">
        <v>159</v>
      </c>
      <c r="B131" s="149">
        <f>SourceData!B39</f>
        <v>0</v>
      </c>
      <c r="C131" s="149">
        <f>SourceData!C39</f>
        <v>0</v>
      </c>
      <c r="D131" s="149">
        <v>48</v>
      </c>
      <c r="E131" s="149">
        <v>46</v>
      </c>
      <c r="F131" s="149">
        <v>49.6</v>
      </c>
      <c r="J131" s="101" t="s">
        <v>160</v>
      </c>
    </row>
    <row r="132" spans="1:12" customFormat="1" ht="21" customHeight="1" x14ac:dyDescent="0.25">
      <c r="A132" s="21" t="s">
        <v>161</v>
      </c>
      <c r="B132" s="151">
        <f>SourceData!B40</f>
        <v>0</v>
      </c>
      <c r="C132" s="151">
        <f>SourceData!C40</f>
        <v>0</v>
      </c>
      <c r="D132" s="151">
        <v>48</v>
      </c>
      <c r="E132" s="151">
        <v>46</v>
      </c>
      <c r="F132" s="151">
        <v>50</v>
      </c>
      <c r="J132" s="101" t="s">
        <v>162</v>
      </c>
    </row>
    <row r="133" spans="1:12" customFormat="1" ht="21" customHeight="1" x14ac:dyDescent="0.25">
      <c r="A133" s="132" t="s">
        <v>123</v>
      </c>
      <c r="B133" s="111"/>
      <c r="C133" s="111"/>
      <c r="D133" s="111"/>
    </row>
    <row r="134" spans="1:12" customFormat="1" ht="21" customHeight="1" x14ac:dyDescent="0.25">
      <c r="A134" s="342"/>
      <c r="B134" s="322"/>
      <c r="C134" s="322"/>
      <c r="D134" s="322"/>
      <c r="E134" s="322"/>
      <c r="F134" s="322"/>
      <c r="G134" s="322"/>
      <c r="H134" s="322"/>
    </row>
    <row r="135" spans="1:12" customFormat="1" ht="21" customHeight="1" x14ac:dyDescent="0.25">
      <c r="A135" s="326"/>
      <c r="B135" s="324"/>
      <c r="C135" s="324"/>
      <c r="D135" s="324"/>
      <c r="E135" s="324"/>
      <c r="F135" s="324"/>
      <c r="G135" s="324"/>
      <c r="H135" s="324"/>
    </row>
    <row r="136" spans="1:12" customFormat="1" ht="12" customHeight="1" x14ac:dyDescent="0.35">
      <c r="A136" s="152"/>
      <c r="B136" s="152"/>
      <c r="C136" s="152"/>
      <c r="D136" s="152"/>
      <c r="E136" s="152"/>
      <c r="F136" s="152"/>
      <c r="G136" s="152"/>
      <c r="H136" s="152"/>
      <c r="J136" s="101"/>
    </row>
    <row r="137" spans="1:12" customFormat="1" ht="21" customHeight="1" x14ac:dyDescent="0.3">
      <c r="A137" s="137" t="s">
        <v>163</v>
      </c>
      <c r="J137" s="138" t="s">
        <v>164</v>
      </c>
    </row>
    <row r="138" spans="1:12" customFormat="1" ht="21" customHeight="1" x14ac:dyDescent="0.25">
      <c r="A138" s="142" t="s">
        <v>165</v>
      </c>
      <c r="J138" s="101"/>
    </row>
    <row r="139" spans="1:12" customFormat="1" ht="21" customHeight="1" x14ac:dyDescent="0.25">
      <c r="A139" s="13" t="s">
        <v>111</v>
      </c>
      <c r="B139" s="15">
        <f>IF($C$9&gt;0,$C$9-5,"")</f>
        <v>2019</v>
      </c>
      <c r="C139" s="16">
        <f>IF($C$9&gt;0,$C$9-4,"")</f>
        <v>2020</v>
      </c>
      <c r="D139" s="16">
        <f>IF($C$9&gt;0,$C$9-3,"")</f>
        <v>2021</v>
      </c>
      <c r="E139" s="16">
        <f>IF($C$9&gt;0,$C$9-2,"")</f>
        <v>2022</v>
      </c>
      <c r="F139" s="16">
        <f>IF($C$9&gt;0,$C$9-1,"")</f>
        <v>2023</v>
      </c>
      <c r="J139" s="101"/>
    </row>
    <row r="140" spans="1:12" customFormat="1" ht="21" customHeight="1" x14ac:dyDescent="0.25">
      <c r="A140" s="21" t="s">
        <v>166</v>
      </c>
      <c r="B140" s="153"/>
      <c r="C140" s="153"/>
      <c r="D140" s="153">
        <v>4</v>
      </c>
      <c r="E140" s="153">
        <v>4</v>
      </c>
      <c r="F140" s="153">
        <v>2</v>
      </c>
      <c r="J140" s="101"/>
      <c r="L140" s="154"/>
    </row>
    <row r="141" spans="1:12" customFormat="1" ht="21" customHeight="1" x14ac:dyDescent="0.25">
      <c r="A141" s="21" t="s">
        <v>167</v>
      </c>
      <c r="B141" s="153">
        <f>SourceData!B48</f>
        <v>0</v>
      </c>
      <c r="C141" s="153">
        <f>SourceData!C48</f>
        <v>0</v>
      </c>
      <c r="D141" s="153">
        <v>149</v>
      </c>
      <c r="E141" s="153">
        <v>143</v>
      </c>
      <c r="F141" s="153">
        <v>133</v>
      </c>
      <c r="J141" s="101" t="s">
        <v>168</v>
      </c>
      <c r="L141" s="154"/>
    </row>
    <row r="142" spans="1:12" customFormat="1" ht="21" customHeight="1" x14ac:dyDescent="0.25">
      <c r="A142" s="21" t="s">
        <v>169</v>
      </c>
      <c r="B142" s="153"/>
      <c r="C142" s="153"/>
      <c r="D142" s="153">
        <v>2</v>
      </c>
      <c r="E142" s="153">
        <v>4</v>
      </c>
      <c r="F142" s="153">
        <v>4</v>
      </c>
      <c r="J142" s="101"/>
      <c r="L142" s="154"/>
    </row>
    <row r="143" spans="1:12" customFormat="1" ht="21" customHeight="1" x14ac:dyDescent="0.25">
      <c r="A143" s="21" t="s">
        <v>170</v>
      </c>
      <c r="B143" s="153">
        <f>SourceData!B58</f>
        <v>0</v>
      </c>
      <c r="C143" s="153">
        <f>SourceData!C58</f>
        <v>0</v>
      </c>
      <c r="D143" s="153">
        <v>223</v>
      </c>
      <c r="E143" s="153">
        <v>183</v>
      </c>
      <c r="F143" s="153">
        <v>133</v>
      </c>
      <c r="J143" s="101" t="s">
        <v>171</v>
      </c>
      <c r="L143" s="101"/>
    </row>
    <row r="144" spans="1:12" customFormat="1" ht="21" customHeight="1" x14ac:dyDescent="0.25">
      <c r="A144" s="132" t="s">
        <v>123</v>
      </c>
      <c r="B144" s="111"/>
      <c r="C144" s="111"/>
      <c r="D144" s="111"/>
      <c r="J144" s="101"/>
      <c r="L144" s="101"/>
    </row>
    <row r="145" spans="1:12" customFormat="1" ht="21" customHeight="1" x14ac:dyDescent="0.25">
      <c r="A145" s="317" t="s">
        <v>1256</v>
      </c>
      <c r="B145" s="317"/>
      <c r="C145" s="317"/>
      <c r="D145" s="317"/>
      <c r="E145" s="317"/>
      <c r="F145" s="317"/>
      <c r="G145" s="317"/>
      <c r="H145" s="317"/>
      <c r="J145" s="101"/>
      <c r="L145" s="101"/>
    </row>
    <row r="146" spans="1:12" customFormat="1" ht="21" customHeight="1" x14ac:dyDescent="0.25">
      <c r="A146" s="375"/>
      <c r="B146" s="375"/>
      <c r="C146" s="375"/>
      <c r="D146" s="375"/>
      <c r="E146" s="375"/>
      <c r="F146" s="375"/>
      <c r="G146" s="375"/>
      <c r="H146" s="375"/>
      <c r="J146" s="101"/>
      <c r="L146" s="101"/>
    </row>
    <row r="147" spans="1:12" customFormat="1" ht="21" customHeight="1" x14ac:dyDescent="0.3">
      <c r="A147" s="137" t="s">
        <v>172</v>
      </c>
      <c r="J147" s="101"/>
      <c r="L147" s="101"/>
    </row>
    <row r="148" spans="1:12" customFormat="1" ht="21" customHeight="1" x14ac:dyDescent="0.25">
      <c r="A148" s="142" t="s">
        <v>173</v>
      </c>
      <c r="J148" s="101"/>
    </row>
    <row r="149" spans="1:12" customFormat="1" ht="21" customHeight="1" x14ac:dyDescent="0.25">
      <c r="A149" s="13" t="s">
        <v>111</v>
      </c>
      <c r="B149" s="15">
        <f>IF($C$9&gt;0,$C$9-5,"")</f>
        <v>2019</v>
      </c>
      <c r="C149" s="16">
        <f>IF($C$9&gt;0,$C$9-4,"")</f>
        <v>2020</v>
      </c>
      <c r="D149" s="16">
        <f>IF($C$9&gt;0,$C$9-3,"")</f>
        <v>2021</v>
      </c>
      <c r="E149" s="16">
        <f>IF($C$9&gt;0,$C$9-2,"")</f>
        <v>2022</v>
      </c>
      <c r="F149" s="16">
        <f>IF($C$9&gt;0,$C$9-1,"")</f>
        <v>2023</v>
      </c>
      <c r="J149" s="101"/>
    </row>
    <row r="150" spans="1:12" customFormat="1" ht="21" customHeight="1" x14ac:dyDescent="0.25">
      <c r="A150" s="21" t="s">
        <v>174</v>
      </c>
      <c r="B150" s="153"/>
      <c r="C150" s="153"/>
      <c r="D150" s="153"/>
      <c r="E150" s="153">
        <v>4</v>
      </c>
      <c r="F150" s="153">
        <v>2</v>
      </c>
      <c r="J150" s="101"/>
    </row>
    <row r="151" spans="1:12" customFormat="1" ht="21" customHeight="1" x14ac:dyDescent="0.25">
      <c r="A151" s="21" t="s">
        <v>175</v>
      </c>
      <c r="B151" s="153">
        <f>SourceData!B68</f>
        <v>0</v>
      </c>
      <c r="C151" s="153">
        <f>SourceData!C68</f>
        <v>0</v>
      </c>
      <c r="D151" s="153">
        <f>SourceData!D68</f>
        <v>0</v>
      </c>
      <c r="E151" s="153">
        <v>4</v>
      </c>
      <c r="F151" s="153">
        <v>2.5</v>
      </c>
      <c r="J151" s="101" t="s">
        <v>176</v>
      </c>
    </row>
    <row r="152" spans="1:12" customFormat="1" ht="21" customHeight="1" x14ac:dyDescent="0.25">
      <c r="A152" s="21" t="s">
        <v>177</v>
      </c>
      <c r="B152" s="153"/>
      <c r="C152" s="153"/>
      <c r="D152" s="153">
        <v>3</v>
      </c>
      <c r="E152" s="153">
        <v>4</v>
      </c>
      <c r="F152" s="153">
        <v>4</v>
      </c>
      <c r="J152" s="101"/>
    </row>
    <row r="153" spans="1:12" customFormat="1" ht="21" customHeight="1" x14ac:dyDescent="0.25">
      <c r="A153" s="21" t="s">
        <v>178</v>
      </c>
      <c r="B153" s="153">
        <f>SourceData!B69</f>
        <v>0</v>
      </c>
      <c r="C153" s="153">
        <f>SourceData!C69</f>
        <v>0</v>
      </c>
      <c r="D153" s="153">
        <v>8</v>
      </c>
      <c r="E153" s="153">
        <v>6</v>
      </c>
      <c r="F153" s="153">
        <v>1.5</v>
      </c>
      <c r="J153" s="101" t="s">
        <v>179</v>
      </c>
    </row>
    <row r="154" spans="1:12" customFormat="1" ht="21" customHeight="1" x14ac:dyDescent="0.25">
      <c r="A154" s="132" t="s">
        <v>123</v>
      </c>
      <c r="B154" s="111"/>
      <c r="C154" s="111"/>
      <c r="D154" s="111"/>
      <c r="J154" s="101"/>
    </row>
    <row r="155" spans="1:12" customFormat="1" ht="21" customHeight="1" x14ac:dyDescent="0.25">
      <c r="A155" s="317"/>
      <c r="B155" s="317"/>
      <c r="C155" s="317"/>
      <c r="D155" s="317"/>
      <c r="E155" s="317"/>
      <c r="F155" s="317"/>
      <c r="G155" s="317"/>
      <c r="H155" s="317"/>
      <c r="J155" s="101"/>
    </row>
    <row r="156" spans="1:12" customFormat="1" ht="21" customHeight="1" x14ac:dyDescent="0.25">
      <c r="A156" s="375"/>
      <c r="B156" s="375"/>
      <c r="C156" s="375"/>
      <c r="D156" s="375"/>
      <c r="E156" s="375"/>
      <c r="F156" s="375"/>
      <c r="G156" s="375"/>
      <c r="H156" s="375"/>
      <c r="J156" s="101"/>
      <c r="L156" s="101"/>
    </row>
    <row r="157" spans="1:12" customFormat="1" ht="21" customHeight="1" x14ac:dyDescent="0.25">
      <c r="J157" s="101"/>
    </row>
    <row r="158" spans="1:12" customFormat="1" ht="21" customHeight="1" x14ac:dyDescent="0.3">
      <c r="A158" s="137" t="s">
        <v>180</v>
      </c>
      <c r="J158" s="101"/>
    </row>
    <row r="159" spans="1:12" customFormat="1" ht="21" customHeight="1" x14ac:dyDescent="0.25">
      <c r="A159" s="142" t="s">
        <v>181</v>
      </c>
      <c r="J159" s="101"/>
      <c r="L159" s="101"/>
    </row>
    <row r="160" spans="1:12" customFormat="1" ht="21" customHeight="1" x14ac:dyDescent="0.25">
      <c r="A160" s="13" t="s">
        <v>111</v>
      </c>
      <c r="B160" s="15">
        <f>IF($C$9&gt;0,$C$9-5,"")</f>
        <v>2019</v>
      </c>
      <c r="C160" s="16">
        <f>IF($C$9&gt;0,$C$9-4,"")</f>
        <v>2020</v>
      </c>
      <c r="D160" s="16">
        <f>IF($C$9&gt;0,$C$9-3,"")</f>
        <v>2021</v>
      </c>
      <c r="E160" s="16">
        <f>IF($C$9&gt;0,$C$9-2,"")</f>
        <v>2022</v>
      </c>
      <c r="F160" s="16">
        <f>IF($C$9&gt;0,$C$9-1,"")</f>
        <v>2023</v>
      </c>
      <c r="J160" s="101" t="s">
        <v>182</v>
      </c>
      <c r="L160" s="101"/>
    </row>
    <row r="161" spans="1:12" customFormat="1" ht="21" customHeight="1" x14ac:dyDescent="0.25">
      <c r="A161" s="21" t="s">
        <v>183</v>
      </c>
      <c r="B161" s="153"/>
      <c r="C161" s="153"/>
      <c r="D161" s="153"/>
      <c r="E161" s="153"/>
      <c r="F161" s="153"/>
      <c r="J161" s="101"/>
    </row>
    <row r="162" spans="1:12" customFormat="1" ht="21" customHeight="1" x14ac:dyDescent="0.25">
      <c r="A162" s="21" t="s">
        <v>184</v>
      </c>
      <c r="B162" s="153">
        <f>SourceData!B78</f>
        <v>0</v>
      </c>
      <c r="C162" s="153">
        <f>SourceData!C78</f>
        <v>0</v>
      </c>
      <c r="D162" s="153">
        <f>SourceData!D78</f>
        <v>0</v>
      </c>
      <c r="E162" s="153">
        <f>SourceData!E78</f>
        <v>0</v>
      </c>
      <c r="F162" s="153">
        <f>SourceData!F78</f>
        <v>0</v>
      </c>
      <c r="J162" s="101"/>
    </row>
    <row r="163" spans="1:12" customFormat="1" ht="21" customHeight="1" x14ac:dyDescent="0.25">
      <c r="A163" s="132" t="s">
        <v>123</v>
      </c>
      <c r="B163" s="111"/>
      <c r="C163" s="111"/>
      <c r="D163" s="111"/>
      <c r="J163" s="101"/>
    </row>
    <row r="164" spans="1:12" customFormat="1" ht="21" customHeight="1" x14ac:dyDescent="0.25">
      <c r="A164" s="317"/>
      <c r="B164" s="317"/>
      <c r="C164" s="317"/>
      <c r="D164" s="317"/>
      <c r="E164" s="317"/>
      <c r="F164" s="317"/>
      <c r="G164" s="317"/>
      <c r="H164" s="317"/>
      <c r="J164" s="101"/>
      <c r="L164" s="101"/>
    </row>
    <row r="165" spans="1:12" customFormat="1" ht="21" customHeight="1" x14ac:dyDescent="0.25">
      <c r="A165" s="375"/>
      <c r="B165" s="375"/>
      <c r="C165" s="375"/>
      <c r="D165" s="375"/>
      <c r="E165" s="375"/>
      <c r="F165" s="375"/>
      <c r="G165" s="375"/>
      <c r="H165" s="375"/>
      <c r="J165" s="101"/>
      <c r="L165" s="101"/>
    </row>
    <row r="166" spans="1:12" customFormat="1" ht="21" customHeight="1" x14ac:dyDescent="0.25">
      <c r="J166" s="101"/>
      <c r="L166" s="101"/>
    </row>
    <row r="167" spans="1:12" customFormat="1" ht="21" customHeight="1" x14ac:dyDescent="0.3">
      <c r="A167" s="137" t="s">
        <v>185</v>
      </c>
      <c r="J167" s="139" t="s">
        <v>110</v>
      </c>
    </row>
    <row r="168" spans="1:12" customFormat="1" ht="21" customHeight="1" x14ac:dyDescent="0.25">
      <c r="A168" s="13" t="s">
        <v>111</v>
      </c>
      <c r="B168" s="155"/>
      <c r="C168" s="155"/>
      <c r="D168" s="155"/>
      <c r="J168" s="101" t="s">
        <v>186</v>
      </c>
    </row>
    <row r="169" spans="1:12" customFormat="1" ht="21" customHeight="1" x14ac:dyDescent="0.25">
      <c r="A169" s="21" t="s">
        <v>66</v>
      </c>
      <c r="B169" s="150"/>
      <c r="C169" s="150"/>
      <c r="D169" s="150"/>
      <c r="J169" s="101" t="s">
        <v>187</v>
      </c>
    </row>
    <row r="170" spans="1:12" customFormat="1" ht="21" customHeight="1" x14ac:dyDescent="0.25">
      <c r="A170" s="21" t="s">
        <v>68</v>
      </c>
      <c r="B170" s="150"/>
      <c r="C170" s="150"/>
      <c r="D170" s="150"/>
      <c r="J170" s="101" t="s">
        <v>187</v>
      </c>
    </row>
    <row r="171" spans="1:12" customFormat="1" ht="21" customHeight="1" x14ac:dyDescent="0.25">
      <c r="A171" s="21" t="s">
        <v>70</v>
      </c>
      <c r="B171" s="150"/>
      <c r="C171" s="150"/>
      <c r="D171" s="150"/>
      <c r="J171" s="101" t="s">
        <v>187</v>
      </c>
    </row>
    <row r="172" spans="1:12" customFormat="1" ht="21" customHeight="1" x14ac:dyDescent="0.25">
      <c r="A172" s="21" t="s">
        <v>72</v>
      </c>
      <c r="B172" s="32"/>
      <c r="C172" s="32"/>
      <c r="D172" s="32"/>
      <c r="J172" s="101" t="s">
        <v>188</v>
      </c>
    </row>
    <row r="173" spans="1:12" customFormat="1" ht="21" customHeight="1" x14ac:dyDescent="0.25">
      <c r="A173" s="132" t="s">
        <v>123</v>
      </c>
      <c r="B173" s="111"/>
      <c r="C173" s="111"/>
      <c r="D173" s="111"/>
    </row>
    <row r="174" spans="1:12" customFormat="1" ht="21" customHeight="1" x14ac:dyDescent="0.25">
      <c r="A174" s="342"/>
      <c r="B174" s="322"/>
      <c r="C174" s="322"/>
      <c r="D174" s="322"/>
      <c r="E174" s="322"/>
      <c r="F174" s="322"/>
      <c r="G174" s="322"/>
      <c r="H174" s="322"/>
    </row>
    <row r="175" spans="1:12" customFormat="1" ht="21" customHeight="1" x14ac:dyDescent="0.25">
      <c r="A175" s="326"/>
      <c r="B175" s="324"/>
      <c r="C175" s="324"/>
      <c r="D175" s="324"/>
      <c r="E175" s="324"/>
      <c r="F175" s="324"/>
      <c r="G175" s="324"/>
      <c r="H175" s="324"/>
    </row>
    <row r="176" spans="1:12" customFormat="1" ht="21" customHeight="1" x14ac:dyDescent="0.25">
      <c r="A176" s="123"/>
    </row>
    <row r="177" spans="1:13" s="137" customFormat="1" ht="21" customHeight="1" x14ac:dyDescent="0.3">
      <c r="A177" s="137" t="s">
        <v>189</v>
      </c>
    </row>
    <row r="178" spans="1:13" customFormat="1" ht="21" customHeight="1" x14ac:dyDescent="0.25">
      <c r="A178" s="13" t="s">
        <v>190</v>
      </c>
      <c r="B178" s="15" t="s">
        <v>191</v>
      </c>
      <c r="C178" s="16" t="s">
        <v>55</v>
      </c>
      <c r="D178" s="16" t="s">
        <v>192</v>
      </c>
    </row>
    <row r="179" spans="1:13" customFormat="1" ht="21" customHeight="1" x14ac:dyDescent="0.25">
      <c r="A179" s="21" t="s">
        <v>193</v>
      </c>
      <c r="B179" s="156"/>
      <c r="C179" s="157"/>
      <c r="D179" s="157"/>
      <c r="J179" s="101" t="s">
        <v>194</v>
      </c>
    </row>
    <row r="180" spans="1:13" customFormat="1" ht="21" customHeight="1" x14ac:dyDescent="0.25">
      <c r="B180" s="125"/>
      <c r="C180" s="125"/>
      <c r="D180" s="125"/>
      <c r="F180" s="101"/>
    </row>
    <row r="181" spans="1:13" customFormat="1" ht="21" customHeight="1" x14ac:dyDescent="0.25">
      <c r="A181" s="123" t="s">
        <v>111</v>
      </c>
      <c r="B181" s="16">
        <f>IF($C$9&gt;0,$C$9-5,"")</f>
        <v>2019</v>
      </c>
      <c r="C181" s="16">
        <f>IF($C$9&gt;0,$C$9-4,"")</f>
        <v>2020</v>
      </c>
      <c r="D181" s="16">
        <f>IF($C$9&gt;0,$C$9-3,"")</f>
        <v>2021</v>
      </c>
      <c r="E181" s="16">
        <f>IF($C$9&gt;0,$C$9-2,"")</f>
        <v>2022</v>
      </c>
      <c r="F181" s="16">
        <f>IF($C$9&gt;0,$C$9-1,"")</f>
        <v>2023</v>
      </c>
    </row>
    <row r="182" spans="1:13" customFormat="1" ht="21" customHeight="1" x14ac:dyDescent="0.25">
      <c r="A182" s="21" t="s">
        <v>195</v>
      </c>
      <c r="B182" s="148"/>
      <c r="C182" s="158"/>
      <c r="D182" s="158">
        <v>3.6</v>
      </c>
      <c r="E182" s="158">
        <v>3.6</v>
      </c>
      <c r="F182" s="128">
        <v>1.6</v>
      </c>
      <c r="J182" s="101" t="s">
        <v>196</v>
      </c>
    </row>
    <row r="183" spans="1:13" customFormat="1" ht="21" customHeight="1" x14ac:dyDescent="0.25">
      <c r="A183" s="123"/>
    </row>
    <row r="184" spans="1:13" s="96" customFormat="1" ht="21" customHeight="1" x14ac:dyDescent="0.2">
      <c r="A184" s="159" t="s">
        <v>197</v>
      </c>
      <c r="M184" s="160"/>
    </row>
    <row r="185" spans="1:13" s="96" customFormat="1" ht="21" customHeight="1" x14ac:dyDescent="0.2">
      <c r="A185" s="159"/>
      <c r="M185" s="160"/>
    </row>
    <row r="186" spans="1:13" s="96" customFormat="1" ht="25.5" customHeight="1" x14ac:dyDescent="0.2">
      <c r="B186" s="53" t="s">
        <v>198</v>
      </c>
      <c r="C186" s="53" t="s">
        <v>199</v>
      </c>
      <c r="D186" s="53" t="s">
        <v>200</v>
      </c>
      <c r="E186" s="53" t="s">
        <v>201</v>
      </c>
      <c r="J186" s="96" t="s">
        <v>202</v>
      </c>
    </row>
    <row r="187" spans="1:13" s="96" customFormat="1" ht="21" customHeight="1" x14ac:dyDescent="0.25">
      <c r="A187" s="96" t="s">
        <v>66</v>
      </c>
      <c r="B187" s="55">
        <f>IF(F$182&gt;0,($C$12/1000)*$F$182*C187,"")</f>
        <v>6.3260771299384437</v>
      </c>
      <c r="C187" s="54">
        <f>IF(F$182&gt;0,'Beräkning avskjutning'!G124,"")</f>
        <v>0.26668003549248126</v>
      </c>
      <c r="D187" s="56">
        <f>IF(F$182&gt;0,F$182*C187,"")</f>
        <v>0.42668805678797006</v>
      </c>
      <c r="E187" s="161">
        <f>IF(F182&gt;0,C187/(C187+C188),"")</f>
        <v>0.33821341847929531</v>
      </c>
    </row>
    <row r="188" spans="1:13" s="96" customFormat="1" ht="21" customHeight="1" x14ac:dyDescent="0.2">
      <c r="A188" s="96" t="s">
        <v>203</v>
      </c>
      <c r="B188" s="55">
        <f>IF(F$182&gt;0,($C$12/1000)*$F$182*C188,"")</f>
        <v>12.378317149810435</v>
      </c>
      <c r="C188" s="54">
        <f>IF(F$182&gt;0,'Beräkning avskjutning'!G125,"")</f>
        <v>0.52181628346361264</v>
      </c>
      <c r="D188" s="56">
        <f>IF(F$182&gt;0,F$182*C188,"")</f>
        <v>0.83490605354178027</v>
      </c>
      <c r="E188" s="82"/>
    </row>
    <row r="189" spans="1:13" s="96" customFormat="1" ht="21" customHeight="1" x14ac:dyDescent="0.2">
      <c r="A189" s="96" t="s">
        <v>70</v>
      </c>
      <c r="B189" s="55">
        <f>IF(F$182&gt;0,($C$12/1000)*$F$182*C189,"")</f>
        <v>5.0172057202511233</v>
      </c>
      <c r="C189" s="54">
        <f>IF(F$182&gt;0,'Beräkning avskjutning'!G126,"")</f>
        <v>0.2115036810439061</v>
      </c>
      <c r="D189" s="56">
        <f>IF(F$182&gt;0,F$182*C189,"")</f>
        <v>0.33840588967024976</v>
      </c>
      <c r="E189" s="83"/>
    </row>
    <row r="190" spans="1:13" s="96" customFormat="1" ht="21" customHeight="1" x14ac:dyDescent="0.2">
      <c r="A190" s="96" t="s">
        <v>204</v>
      </c>
      <c r="B190" s="55">
        <f>IF($F182&gt;0,SUM(B187:B189),"")</f>
        <v>23.721600000000002</v>
      </c>
      <c r="C190" s="54">
        <f>IF($F182&gt;0,SUM(C187:C189),"")</f>
        <v>1</v>
      </c>
      <c r="D190" s="56">
        <f>IF($F182&gt;0,SUM(D187:D189),"")</f>
        <v>1.6</v>
      </c>
      <c r="E190" s="83"/>
    </row>
    <row r="191" spans="1:13" s="96" customFormat="1" ht="21" customHeight="1" x14ac:dyDescent="0.2">
      <c r="J191" s="162"/>
    </row>
    <row r="192" spans="1:13" customFormat="1" ht="21" customHeight="1" x14ac:dyDescent="0.25">
      <c r="A192" s="132" t="s">
        <v>92</v>
      </c>
      <c r="B192" s="111"/>
      <c r="C192" s="111"/>
      <c r="D192" s="111"/>
      <c r="J192" s="101"/>
    </row>
    <row r="193" spans="1:10" customFormat="1" ht="21" customHeight="1" x14ac:dyDescent="0.25">
      <c r="A193" s="378"/>
      <c r="B193" s="379"/>
      <c r="C193" s="379"/>
      <c r="D193" s="379"/>
      <c r="E193" s="379"/>
      <c r="F193" s="379"/>
      <c r="G193" s="379"/>
      <c r="H193" s="379"/>
      <c r="J193" s="101"/>
    </row>
    <row r="194" spans="1:10" customFormat="1" ht="21" customHeight="1" x14ac:dyDescent="0.25">
      <c r="A194" s="380"/>
      <c r="B194" s="381"/>
      <c r="C194" s="381"/>
      <c r="D194" s="381"/>
      <c r="E194" s="381"/>
      <c r="F194" s="381"/>
      <c r="G194" s="381"/>
      <c r="H194" s="381"/>
      <c r="J194" s="101"/>
    </row>
    <row r="195" spans="1:10" s="96" customFormat="1" ht="21" customHeight="1" x14ac:dyDescent="0.2"/>
    <row r="196" spans="1:10" customFormat="1" ht="21" customHeight="1" x14ac:dyDescent="0.25">
      <c r="A196" s="13" t="s">
        <v>205</v>
      </c>
      <c r="B196" s="15" t="s">
        <v>192</v>
      </c>
      <c r="C196" s="16" t="s">
        <v>55</v>
      </c>
      <c r="D196" s="16" t="s">
        <v>191</v>
      </c>
    </row>
    <row r="197" spans="1:10" customFormat="1" ht="21" customHeight="1" x14ac:dyDescent="0.25">
      <c r="A197" s="21" t="s">
        <v>206</v>
      </c>
      <c r="B197" s="156"/>
      <c r="C197" s="156"/>
      <c r="D197" s="156"/>
      <c r="J197" s="101" t="s">
        <v>207</v>
      </c>
    </row>
    <row r="198" spans="1:10" customFormat="1" ht="21" customHeight="1" x14ac:dyDescent="0.25">
      <c r="A198" s="21" t="s">
        <v>208</v>
      </c>
      <c r="B198" s="156"/>
      <c r="C198" s="156"/>
      <c r="D198" s="156"/>
      <c r="G198" s="163"/>
      <c r="J198" s="101" t="s">
        <v>207</v>
      </c>
    </row>
    <row r="199" spans="1:10" customFormat="1" ht="21" customHeight="1" x14ac:dyDescent="0.25">
      <c r="A199" s="21" t="s">
        <v>209</v>
      </c>
      <c r="B199" s="156"/>
      <c r="C199" s="156"/>
      <c r="D199" s="156"/>
      <c r="J199" s="101" t="s">
        <v>207</v>
      </c>
    </row>
    <row r="200" spans="1:10" customFormat="1" ht="21" customHeight="1" x14ac:dyDescent="0.25">
      <c r="A200" s="21" t="s">
        <v>210</v>
      </c>
      <c r="B200" s="156"/>
      <c r="C200" s="156"/>
      <c r="D200" s="156"/>
      <c r="J200" s="101" t="s">
        <v>207</v>
      </c>
    </row>
    <row r="201" spans="1:10" customFormat="1" ht="21" customHeight="1" x14ac:dyDescent="0.25"/>
    <row r="202" spans="1:10" s="137" customFormat="1" ht="21" customHeight="1" x14ac:dyDescent="0.3">
      <c r="A202" s="137" t="s">
        <v>211</v>
      </c>
    </row>
    <row r="203" spans="1:10" s="96" customFormat="1" ht="21" customHeight="1" x14ac:dyDescent="0.2">
      <c r="J203" s="162" t="s">
        <v>212</v>
      </c>
    </row>
    <row r="204" spans="1:10" s="96" customFormat="1" ht="21" customHeight="1" x14ac:dyDescent="0.25">
      <c r="A204" s="159" t="s">
        <v>213</v>
      </c>
      <c r="B204" s="164"/>
      <c r="D204" s="159" t="s">
        <v>214</v>
      </c>
      <c r="J204" s="165" t="s">
        <v>215</v>
      </c>
    </row>
    <row r="205" spans="1:10" s="96" customFormat="1" ht="21" customHeight="1" x14ac:dyDescent="0.25">
      <c r="A205" s="96" t="s">
        <v>216</v>
      </c>
      <c r="B205" s="166">
        <f>IF(C12&gt;1,C12,"")</f>
        <v>14826</v>
      </c>
      <c r="D205" s="167" t="s">
        <v>217</v>
      </c>
      <c r="E205" s="168"/>
      <c r="F205" s="169" t="s">
        <v>218</v>
      </c>
      <c r="G205" s="169" t="s">
        <v>1082</v>
      </c>
      <c r="H205" s="169" t="s">
        <v>219</v>
      </c>
      <c r="J205" s="162" t="s">
        <v>220</v>
      </c>
    </row>
    <row r="206" spans="1:10" s="96" customFormat="1" ht="21" customHeight="1" x14ac:dyDescent="0.25">
      <c r="A206" s="159" t="s">
        <v>221</v>
      </c>
      <c r="B206" s="170"/>
      <c r="D206" s="171" t="s">
        <v>201</v>
      </c>
      <c r="F206" s="172">
        <f>F105</f>
        <v>0.41</v>
      </c>
      <c r="G206" s="172">
        <f>IF(SUM(C105:E105)&gt;0,SUM(C105:E105)/3,"")</f>
        <v>0.41</v>
      </c>
      <c r="H206" s="172">
        <f>IF(E105&gt;0,E105,"")</f>
        <v>0.36</v>
      </c>
      <c r="J206" s="162" t="s">
        <v>222</v>
      </c>
    </row>
    <row r="207" spans="1:10" s="96" customFormat="1" ht="21" customHeight="1" x14ac:dyDescent="0.25">
      <c r="A207" s="96" t="s">
        <v>223</v>
      </c>
      <c r="B207" s="173">
        <f>IF(B60&gt;0,B60,"")</f>
        <v>3.6</v>
      </c>
      <c r="D207" s="171" t="s">
        <v>224</v>
      </c>
      <c r="F207" s="172">
        <f>F104</f>
        <v>0.69833333333333325</v>
      </c>
      <c r="G207" s="172">
        <f>IF(SUM(C104:E104)&gt;0,SUM(C104:E104)/3,"")</f>
        <v>0.69833333333333325</v>
      </c>
      <c r="H207" s="172">
        <f>IF(E104&gt;0,E104,"")</f>
        <v>0.53</v>
      </c>
      <c r="J207" s="162"/>
    </row>
    <row r="208" spans="1:10" s="96" customFormat="1" ht="21" customHeight="1" x14ac:dyDescent="0.25">
      <c r="A208" s="96" t="s">
        <v>201</v>
      </c>
      <c r="B208" s="172">
        <f>IF(B63&gt;0,B63,"")</f>
        <v>0.35</v>
      </c>
      <c r="D208" s="174" t="s">
        <v>225</v>
      </c>
      <c r="J208" s="162"/>
    </row>
    <row r="209" spans="1:13" s="96" customFormat="1" ht="21" customHeight="1" x14ac:dyDescent="0.25">
      <c r="B209" s="164"/>
      <c r="D209" s="171" t="s">
        <v>226</v>
      </c>
      <c r="F209" s="172">
        <v>0.52</v>
      </c>
      <c r="J209" s="162" t="s">
        <v>227</v>
      </c>
    </row>
    <row r="210" spans="1:13" s="96" customFormat="1" ht="21" customHeight="1" x14ac:dyDescent="0.2">
      <c r="B210" s="164"/>
      <c r="D210" s="171"/>
      <c r="J210" s="162" t="s">
        <v>228</v>
      </c>
    </row>
    <row r="211" spans="1:13" s="96" customFormat="1" ht="21" customHeight="1" x14ac:dyDescent="0.2">
      <c r="A211" s="159" t="s">
        <v>229</v>
      </c>
      <c r="B211" s="168"/>
      <c r="D211" s="175" t="s">
        <v>230</v>
      </c>
      <c r="F211" s="169" t="s">
        <v>231</v>
      </c>
      <c r="G211" s="176" t="s">
        <v>232</v>
      </c>
      <c r="H211" s="176" t="s">
        <v>233</v>
      </c>
      <c r="J211" s="162"/>
    </row>
    <row r="212" spans="1:13" s="96" customFormat="1" ht="21" customHeight="1" x14ac:dyDescent="0.25">
      <c r="A212" s="96" t="s">
        <v>234</v>
      </c>
      <c r="B212" s="166">
        <f>IF(D85&gt;0,D85,"")</f>
        <v>4</v>
      </c>
      <c r="D212" s="96" t="s">
        <v>235</v>
      </c>
      <c r="F212" s="173" t="str">
        <f>IF(D$301="","",D$283*0.5)</f>
        <v/>
      </c>
      <c r="G212" s="173">
        <f>IF(E275&gt;0,E275,"")</f>
        <v>1</v>
      </c>
      <c r="H212" s="173">
        <f>IF(E282&gt;0,E282,"")</f>
        <v>1</v>
      </c>
      <c r="J212" s="162"/>
    </row>
    <row r="213" spans="1:13" s="96" customFormat="1" ht="21" customHeight="1" x14ac:dyDescent="0.25">
      <c r="A213" s="96" t="s">
        <v>236</v>
      </c>
      <c r="B213" s="166">
        <f>IF(D86&gt;0,D86,"")</f>
        <v>2</v>
      </c>
      <c r="D213" s="96" t="s">
        <v>237</v>
      </c>
      <c r="F213" s="173" t="str">
        <f>IF(D$301="","",D$301*0.5)</f>
        <v/>
      </c>
      <c r="G213" s="173">
        <f>IF(E276&gt;0,E276,"")</f>
        <v>2</v>
      </c>
      <c r="H213" s="173">
        <f>IF(E283&gt;0,E283,"")</f>
        <v>1</v>
      </c>
      <c r="J213" s="162"/>
    </row>
    <row r="214" spans="1:13" s="96" customFormat="1" ht="21" customHeight="1" x14ac:dyDescent="0.25">
      <c r="A214" s="96" t="s">
        <v>238</v>
      </c>
      <c r="B214" s="166">
        <f>IF(D87&gt;0,D87,"")</f>
        <v>7</v>
      </c>
      <c r="D214" s="96" t="s">
        <v>239</v>
      </c>
      <c r="F214" s="173" t="str">
        <f>IF(E301="","",E301)</f>
        <v/>
      </c>
      <c r="G214" s="173">
        <f>IF(E277&gt;0,E277,"")</f>
        <v>1</v>
      </c>
      <c r="H214" s="173" t="str">
        <f>IF(E284&gt;0,E284,"")</f>
        <v/>
      </c>
      <c r="J214" s="162"/>
    </row>
    <row r="215" spans="1:13" s="96" customFormat="1" ht="21" customHeight="1" x14ac:dyDescent="0.2">
      <c r="A215" s="159" t="s">
        <v>240</v>
      </c>
      <c r="B215" s="170"/>
      <c r="E215" s="168"/>
      <c r="F215" s="168"/>
      <c r="G215" s="168"/>
      <c r="J215" s="162"/>
    </row>
    <row r="216" spans="1:13" s="96" customFormat="1" ht="21" customHeight="1" x14ac:dyDescent="0.25">
      <c r="A216" s="177" t="s">
        <v>223</v>
      </c>
      <c r="B216" s="173">
        <f>IF(F182&gt;0,F182,"")</f>
        <v>1.6</v>
      </c>
      <c r="E216" s="168"/>
      <c r="F216" s="170"/>
      <c r="G216" s="170"/>
      <c r="J216" s="162"/>
    </row>
    <row r="217" spans="1:13" s="96" customFormat="1" ht="21" customHeight="1" x14ac:dyDescent="0.2">
      <c r="A217" s="177"/>
      <c r="B217" s="168"/>
      <c r="E217" s="168"/>
      <c r="F217" s="170"/>
      <c r="G217" s="170"/>
      <c r="J217" s="162"/>
    </row>
    <row r="218" spans="1:13" s="96" customFormat="1" ht="21" customHeight="1" x14ac:dyDescent="0.2">
      <c r="A218" s="159" t="s">
        <v>241</v>
      </c>
      <c r="J218" s="162" t="s">
        <v>242</v>
      </c>
      <c r="M218" s="160"/>
    </row>
    <row r="219" spans="1:13" s="96" customFormat="1" ht="21" customHeight="1" x14ac:dyDescent="0.2">
      <c r="A219" s="159"/>
      <c r="J219" s="162" t="s">
        <v>243</v>
      </c>
      <c r="M219" s="160"/>
    </row>
    <row r="220" spans="1:13" s="96" customFormat="1" ht="25.5" customHeight="1" x14ac:dyDescent="0.2">
      <c r="B220" s="53" t="s">
        <v>198</v>
      </c>
      <c r="C220" s="53" t="s">
        <v>199</v>
      </c>
      <c r="D220" s="53" t="s">
        <v>200</v>
      </c>
      <c r="E220" s="53" t="s">
        <v>201</v>
      </c>
      <c r="J220" s="162" t="s">
        <v>244</v>
      </c>
    </row>
    <row r="221" spans="1:13" s="96" customFormat="1" ht="21" customHeight="1" x14ac:dyDescent="0.25">
      <c r="A221" s="96" t="s">
        <v>66</v>
      </c>
      <c r="B221" s="178">
        <v>6</v>
      </c>
      <c r="C221" s="54">
        <f>IF(B221&gt;0,B221/B$224,"")</f>
        <v>0.25</v>
      </c>
      <c r="D221" s="56">
        <f>IF(B221&gt;0,B221/(C$12/1000),"")</f>
        <v>0.40469445568595708</v>
      </c>
      <c r="E221" s="161">
        <f>IF(D224&gt;0,C221/(C221+C222),"")</f>
        <v>0.3</v>
      </c>
      <c r="J221" s="162" t="s">
        <v>245</v>
      </c>
    </row>
    <row r="222" spans="1:13" s="96" customFormat="1" ht="21" customHeight="1" x14ac:dyDescent="0.2">
      <c r="A222" s="96" t="s">
        <v>203</v>
      </c>
      <c r="B222" s="178">
        <v>14</v>
      </c>
      <c r="C222" s="54">
        <f>IF(B222&gt;0,B222/B$224,"")</f>
        <v>0.58333333333333337</v>
      </c>
      <c r="D222" s="56">
        <f>IF(B222&gt;0,B222/(C$12/1000),"")</f>
        <v>0.94428706326723322</v>
      </c>
      <c r="J222" s="162" t="s">
        <v>246</v>
      </c>
    </row>
    <row r="223" spans="1:13" s="96" customFormat="1" ht="21" customHeight="1" x14ac:dyDescent="0.2">
      <c r="A223" s="96" t="s">
        <v>70</v>
      </c>
      <c r="B223" s="178">
        <v>4</v>
      </c>
      <c r="C223" s="54">
        <f>IF(B223&gt;0,B223/B$224,"")</f>
        <v>0.16666666666666666</v>
      </c>
      <c r="D223" s="56">
        <f>IF(B223&gt;0,B223/(C$12/1000),"")</f>
        <v>0.26979630379063807</v>
      </c>
      <c r="J223" s="162" t="s">
        <v>247</v>
      </c>
    </row>
    <row r="224" spans="1:13" s="96" customFormat="1" ht="21" customHeight="1" x14ac:dyDescent="0.2">
      <c r="A224" s="96" t="s">
        <v>204</v>
      </c>
      <c r="B224" s="55">
        <f>SUM(B221:B223)</f>
        <v>24</v>
      </c>
      <c r="C224" s="54">
        <f>SUM(C221:C223)</f>
        <v>1</v>
      </c>
      <c r="D224" s="56">
        <f>SUM(D221:D223)</f>
        <v>1.6187778227438285</v>
      </c>
      <c r="E224" s="83"/>
      <c r="J224" s="162"/>
    </row>
    <row r="225" spans="1:10" customFormat="1" ht="15" customHeight="1" x14ac:dyDescent="0.3">
      <c r="A225" s="115"/>
      <c r="B225" s="115"/>
      <c r="C225" s="115"/>
      <c r="D225" s="115"/>
      <c r="E225" s="115"/>
      <c r="F225" s="115"/>
      <c r="G225" s="115"/>
      <c r="H225" s="115"/>
      <c r="J225" s="101"/>
    </row>
    <row r="226" spans="1:10" customFormat="1" ht="21" customHeight="1" x14ac:dyDescent="0.35">
      <c r="A226" s="338" t="s">
        <v>248</v>
      </c>
      <c r="B226" s="338"/>
      <c r="C226" s="338"/>
      <c r="D226" s="338"/>
      <c r="E226" s="338"/>
      <c r="F226" s="338"/>
      <c r="G226" s="338"/>
      <c r="H226" s="338"/>
    </row>
    <row r="227" spans="1:10" customFormat="1" ht="12" customHeight="1" x14ac:dyDescent="0.35">
      <c r="A227" s="152"/>
      <c r="B227" s="152"/>
      <c r="C227" s="152"/>
      <c r="D227" s="152"/>
      <c r="E227" s="152"/>
      <c r="F227" s="152"/>
      <c r="G227" s="152"/>
      <c r="H227" s="152"/>
    </row>
    <row r="228" spans="1:10" s="211" customFormat="1" ht="21" customHeight="1" x14ac:dyDescent="0.35">
      <c r="A228" s="319" t="s">
        <v>249</v>
      </c>
      <c r="B228" s="319"/>
      <c r="C228" s="319"/>
      <c r="D228" s="319"/>
      <c r="E228" s="319"/>
      <c r="F228" s="319"/>
      <c r="G228" s="319"/>
      <c r="H228" s="319"/>
      <c r="J228" s="138" t="s">
        <v>108</v>
      </c>
    </row>
    <row r="229" spans="1:10" customFormat="1" ht="21" customHeight="1" x14ac:dyDescent="0.25">
      <c r="A229" s="101" t="s">
        <v>250</v>
      </c>
    </row>
    <row r="230" spans="1:10" customFormat="1" ht="12" customHeight="1" x14ac:dyDescent="0.25">
      <c r="B230" s="179"/>
      <c r="C230" s="179"/>
      <c r="D230" s="179"/>
      <c r="E230" s="179"/>
      <c r="F230" s="179"/>
      <c r="G230" s="179"/>
      <c r="H230" s="179"/>
    </row>
    <row r="231" spans="1:10" customFormat="1" ht="21" customHeight="1" x14ac:dyDescent="0.3">
      <c r="A231" s="137" t="s">
        <v>251</v>
      </c>
      <c r="J231" s="139" t="s">
        <v>252</v>
      </c>
    </row>
    <row r="232" spans="1:10" customFormat="1" ht="21" customHeight="1" x14ac:dyDescent="0.25">
      <c r="A232" s="13" t="s">
        <v>253</v>
      </c>
      <c r="B232" s="15">
        <f>IF($C$9&gt;0,$C$9-3,"")</f>
        <v>2021</v>
      </c>
      <c r="C232" s="16">
        <f>IF($C$9&gt;0,$C$9-2,"")</f>
        <v>2022</v>
      </c>
      <c r="D232" s="16">
        <f>IF($C$9&gt;0,$C$9-1,"")</f>
        <v>2023</v>
      </c>
      <c r="E232" s="16">
        <f>IF($C$9&gt;0,$C$9,"")</f>
        <v>2024</v>
      </c>
      <c r="F232" s="16">
        <f>IF($C$9&gt;0,$C$9+1,"")</f>
        <v>2025</v>
      </c>
      <c r="G232" s="16">
        <f>IF($C$9&gt;0,$C$9+2,"")</f>
        <v>2026</v>
      </c>
      <c r="H232" s="16">
        <f>IF($C$9&gt;0,$C$9+3,"")</f>
        <v>2027</v>
      </c>
      <c r="J232" s="139" t="s">
        <v>254</v>
      </c>
    </row>
    <row r="233" spans="1:10" customFormat="1" ht="21" customHeight="1" x14ac:dyDescent="0.25">
      <c r="A233" s="21" t="s">
        <v>255</v>
      </c>
      <c r="B233" s="180">
        <v>11954</v>
      </c>
      <c r="C233" s="141">
        <v>11988</v>
      </c>
      <c r="D233" s="141">
        <v>12105</v>
      </c>
      <c r="E233" s="141">
        <v>12292</v>
      </c>
      <c r="F233" s="141">
        <v>12645</v>
      </c>
      <c r="G233" s="141"/>
      <c r="H233" s="141"/>
      <c r="J233" s="101" t="s">
        <v>256</v>
      </c>
    </row>
    <row r="234" spans="1:10" customFormat="1" ht="21" customHeight="1" x14ac:dyDescent="0.25">
      <c r="A234" s="97" t="s">
        <v>257</v>
      </c>
      <c r="B234" s="179"/>
      <c r="C234" s="135"/>
      <c r="D234" s="135"/>
      <c r="E234" s="135"/>
      <c r="F234" s="179"/>
      <c r="G234" s="179"/>
      <c r="H234" s="179"/>
      <c r="J234" s="101" t="s">
        <v>258</v>
      </c>
    </row>
    <row r="235" spans="1:10" customFormat="1" ht="12" customHeight="1" x14ac:dyDescent="0.25">
      <c r="B235" s="24"/>
      <c r="C235" s="24"/>
      <c r="D235" s="57"/>
      <c r="E235" s="181"/>
      <c r="F235" s="181"/>
      <c r="G235" s="181"/>
      <c r="J235" s="101"/>
    </row>
    <row r="236" spans="1:10" customFormat="1" ht="21" customHeight="1" x14ac:dyDescent="0.25">
      <c r="A236" s="13" t="s">
        <v>259</v>
      </c>
      <c r="B236" s="15" t="s">
        <v>260</v>
      </c>
      <c r="C236" s="58" t="s">
        <v>55</v>
      </c>
      <c r="D236" s="58" t="s">
        <v>261</v>
      </c>
    </row>
    <row r="237" spans="1:10" customFormat="1" ht="21" customHeight="1" x14ac:dyDescent="0.25">
      <c r="A237" s="21" t="s">
        <v>262</v>
      </c>
      <c r="B237" s="182"/>
      <c r="C237" s="183"/>
      <c r="D237" s="183"/>
      <c r="J237" s="101" t="s">
        <v>263</v>
      </c>
    </row>
    <row r="238" spans="1:10" customFormat="1" ht="12" customHeight="1" x14ac:dyDescent="0.25">
      <c r="A238" s="142"/>
    </row>
    <row r="239" spans="1:10" customFormat="1" ht="21" customHeight="1" x14ac:dyDescent="0.25">
      <c r="A239" s="314" t="s">
        <v>264</v>
      </c>
      <c r="B239" s="314"/>
      <c r="E239" s="16">
        <f>IF($C$9&gt;0,$C$9-3,"")</f>
        <v>2021</v>
      </c>
      <c r="F239" s="16">
        <f>IF($C$9&gt;0,$C$9-2,"")</f>
        <v>2022</v>
      </c>
      <c r="G239" s="16">
        <f>IF($C$9&gt;0,$C$9-1,"")</f>
        <v>2023</v>
      </c>
      <c r="H239" s="16">
        <f>IF($C$9&gt;0,$C$9,"")</f>
        <v>2024</v>
      </c>
      <c r="J239" s="139" t="s">
        <v>254</v>
      </c>
    </row>
    <row r="240" spans="1:10" customFormat="1" ht="21" customHeight="1" x14ac:dyDescent="0.25">
      <c r="A240" s="133" t="s">
        <v>94</v>
      </c>
      <c r="B240" s="311" t="s">
        <v>265</v>
      </c>
      <c r="C240" s="312"/>
      <c r="D240" s="313"/>
      <c r="E240" s="129"/>
      <c r="F240" s="129">
        <v>0.28000000000000003</v>
      </c>
      <c r="G240" s="129">
        <v>0.18</v>
      </c>
      <c r="H240" s="129">
        <v>0.1</v>
      </c>
      <c r="J240" s="101" t="s">
        <v>266</v>
      </c>
    </row>
    <row r="241" spans="1:10" customFormat="1" ht="21" customHeight="1" x14ac:dyDescent="0.25">
      <c r="A241" s="134" t="s">
        <v>94</v>
      </c>
      <c r="B241" s="311" t="s">
        <v>267</v>
      </c>
      <c r="C241" s="312"/>
      <c r="D241" s="313"/>
      <c r="E241" s="135"/>
      <c r="F241" s="135">
        <v>0.41</v>
      </c>
      <c r="G241" s="135">
        <v>0.65</v>
      </c>
      <c r="H241" s="135">
        <v>0.52</v>
      </c>
      <c r="J241" s="101" t="s">
        <v>268</v>
      </c>
    </row>
    <row r="242" spans="1:10" customFormat="1" ht="21" customHeight="1" x14ac:dyDescent="0.25">
      <c r="A242" s="134" t="s">
        <v>269</v>
      </c>
      <c r="B242" s="311" t="s">
        <v>270</v>
      </c>
      <c r="C242" s="312"/>
      <c r="D242" s="313"/>
      <c r="E242" s="135"/>
      <c r="F242" s="135">
        <v>0.17</v>
      </c>
      <c r="G242" s="135">
        <v>0.35</v>
      </c>
      <c r="H242" s="135">
        <v>0.55000000000000004</v>
      </c>
      <c r="J242" s="101" t="s">
        <v>271</v>
      </c>
    </row>
    <row r="243" spans="1:10" customFormat="1" ht="21" customHeight="1" x14ac:dyDescent="0.25">
      <c r="A243" s="134" t="s">
        <v>272</v>
      </c>
      <c r="B243" s="311" t="s">
        <v>273</v>
      </c>
      <c r="C243" s="312"/>
      <c r="D243" s="313"/>
      <c r="E243" s="135"/>
      <c r="F243" s="135">
        <v>0.08</v>
      </c>
      <c r="G243" s="135">
        <v>0.04</v>
      </c>
      <c r="H243" s="135">
        <v>0.16</v>
      </c>
      <c r="J243" s="101" t="s">
        <v>274</v>
      </c>
    </row>
    <row r="244" spans="1:10" customFormat="1" ht="21" customHeight="1" x14ac:dyDescent="0.25">
      <c r="A244" s="134" t="s">
        <v>98</v>
      </c>
      <c r="B244" s="311" t="s">
        <v>265</v>
      </c>
      <c r="C244" s="312"/>
      <c r="D244" s="313"/>
      <c r="E244" s="135"/>
      <c r="F244" s="135">
        <v>0.01</v>
      </c>
      <c r="G244" s="135">
        <v>0</v>
      </c>
      <c r="H244" s="135">
        <v>0</v>
      </c>
      <c r="J244" s="101" t="s">
        <v>275</v>
      </c>
    </row>
    <row r="245" spans="1:10" customFormat="1" ht="12" customHeight="1" x14ac:dyDescent="0.25">
      <c r="A245" s="142"/>
      <c r="J245" s="101"/>
    </row>
    <row r="246" spans="1:10" customFormat="1" ht="21" customHeight="1" x14ac:dyDescent="0.25">
      <c r="C246" s="126"/>
      <c r="D246" s="126"/>
      <c r="E246" s="126"/>
    </row>
    <row r="247" spans="1:10" customFormat="1" ht="21" customHeight="1" x14ac:dyDescent="0.3">
      <c r="A247" s="137" t="s">
        <v>276</v>
      </c>
    </row>
    <row r="248" spans="1:10" customFormat="1" ht="21" customHeight="1" x14ac:dyDescent="0.25">
      <c r="A248" s="101"/>
    </row>
    <row r="249" spans="1:10" customFormat="1" ht="30.75" customHeight="1" x14ac:dyDescent="0.25">
      <c r="A249" s="13" t="s">
        <v>277</v>
      </c>
      <c r="B249" s="15" t="s">
        <v>278</v>
      </c>
      <c r="C249" s="88" t="s">
        <v>279</v>
      </c>
    </row>
    <row r="250" spans="1:10" customFormat="1" ht="21" customHeight="1" x14ac:dyDescent="0.25">
      <c r="A250" s="21" t="s">
        <v>280</v>
      </c>
      <c r="B250" s="184"/>
      <c r="C250" s="185"/>
      <c r="J250" s="101" t="s">
        <v>281</v>
      </c>
    </row>
    <row r="251" spans="1:10" customFormat="1" ht="21" customHeight="1" x14ac:dyDescent="0.25">
      <c r="A251" s="21" t="s">
        <v>282</v>
      </c>
      <c r="B251" s="185"/>
      <c r="C251" s="185"/>
      <c r="D251" s="16">
        <f>IF($C$9&gt;0,$C$9-2,"")</f>
        <v>2022</v>
      </c>
      <c r="E251" s="16">
        <f>IF($C$9&gt;0,$C$9-1,"")</f>
        <v>2023</v>
      </c>
      <c r="F251" s="16">
        <f>IF($C$9&gt;0,$C$9,"")</f>
        <v>2024</v>
      </c>
      <c r="J251" s="101" t="s">
        <v>281</v>
      </c>
    </row>
    <row r="252" spans="1:10" customFormat="1" ht="21" customHeight="1" x14ac:dyDescent="0.25">
      <c r="A252" s="97" t="s">
        <v>283</v>
      </c>
      <c r="B252" s="372" t="s">
        <v>284</v>
      </c>
      <c r="C252" s="373"/>
      <c r="D252" s="186" t="s">
        <v>285</v>
      </c>
      <c r="E252" s="186" t="s">
        <v>285</v>
      </c>
      <c r="F252" s="186" t="s">
        <v>285</v>
      </c>
      <c r="J252" s="101" t="s">
        <v>286</v>
      </c>
    </row>
    <row r="253" spans="1:10" customFormat="1" ht="21" customHeight="1" x14ac:dyDescent="0.25">
      <c r="B253" s="125"/>
      <c r="C253" s="125"/>
    </row>
    <row r="254" spans="1:10" customFormat="1" ht="21" customHeight="1" x14ac:dyDescent="0.25">
      <c r="A254" s="123" t="s">
        <v>287</v>
      </c>
      <c r="B254" s="328"/>
      <c r="C254" s="328"/>
      <c r="D254" s="328"/>
      <c r="E254" s="328"/>
      <c r="F254" s="328"/>
      <c r="G254" s="328"/>
      <c r="H254" s="328"/>
    </row>
    <row r="255" spans="1:10" customFormat="1" ht="21" customHeight="1" x14ac:dyDescent="0.25">
      <c r="A255" s="132" t="s">
        <v>123</v>
      </c>
      <c r="B255" s="111"/>
      <c r="C255" s="111"/>
      <c r="D255" s="111"/>
    </row>
    <row r="256" spans="1:10" customFormat="1" ht="21" customHeight="1" x14ac:dyDescent="0.25">
      <c r="A256" s="342"/>
      <c r="B256" s="342"/>
      <c r="C256" s="342"/>
      <c r="D256" s="342"/>
      <c r="E256" s="342"/>
      <c r="F256" s="342"/>
      <c r="G256" s="342"/>
      <c r="H256" s="342"/>
    </row>
    <row r="257" spans="1:10" customFormat="1" ht="21" customHeight="1" x14ac:dyDescent="0.25">
      <c r="A257" s="326"/>
      <c r="B257" s="324"/>
      <c r="C257" s="324"/>
      <c r="D257" s="324"/>
      <c r="E257" s="324"/>
      <c r="F257" s="324"/>
      <c r="G257" s="324"/>
      <c r="H257" s="324"/>
    </row>
    <row r="258" spans="1:10" customFormat="1" ht="21" customHeight="1" x14ac:dyDescent="0.25">
      <c r="A258" s="326"/>
      <c r="B258" s="324"/>
      <c r="C258" s="324"/>
      <c r="D258" s="324"/>
      <c r="E258" s="324"/>
      <c r="F258" s="324"/>
      <c r="G258" s="324"/>
      <c r="H258" s="324"/>
    </row>
    <row r="259" spans="1:10" customFormat="1" ht="21" customHeight="1" x14ac:dyDescent="0.25">
      <c r="A259" s="326"/>
      <c r="B259" s="324"/>
      <c r="C259" s="324"/>
      <c r="D259" s="324"/>
      <c r="E259" s="324"/>
      <c r="F259" s="324"/>
      <c r="G259" s="324"/>
      <c r="H259" s="324"/>
    </row>
    <row r="260" spans="1:10" customFormat="1" ht="21" customHeight="1" x14ac:dyDescent="0.25">
      <c r="B260" s="187"/>
    </row>
    <row r="261" spans="1:10" s="211" customFormat="1" ht="21" customHeight="1" x14ac:dyDescent="0.35">
      <c r="A261" s="113" t="s">
        <v>288</v>
      </c>
      <c r="J261" s="188"/>
    </row>
    <row r="262" spans="1:10" customFormat="1" ht="36" customHeight="1" x14ac:dyDescent="0.25">
      <c r="A262" s="13"/>
      <c r="B262" s="15" t="s">
        <v>278</v>
      </c>
      <c r="C262" s="88" t="s">
        <v>279</v>
      </c>
    </row>
    <row r="263" spans="1:10" customFormat="1" ht="21" customHeight="1" x14ac:dyDescent="0.25">
      <c r="A263" s="21" t="s">
        <v>289</v>
      </c>
      <c r="B263" s="189"/>
      <c r="C263" s="124"/>
      <c r="D263" s="123"/>
      <c r="J263" s="101" t="s">
        <v>290</v>
      </c>
    </row>
    <row r="264" spans="1:10" customFormat="1" ht="21" customHeight="1" x14ac:dyDescent="0.25">
      <c r="A264" s="142" t="s">
        <v>291</v>
      </c>
    </row>
    <row r="265" spans="1:10" customFormat="1" ht="21" customHeight="1" x14ac:dyDescent="0.25">
      <c r="A265" s="326"/>
      <c r="B265" s="324"/>
      <c r="C265" s="324"/>
      <c r="D265" s="324"/>
      <c r="E265" s="324"/>
      <c r="F265" s="324"/>
      <c r="G265" s="324"/>
      <c r="H265" s="324"/>
    </row>
    <row r="266" spans="1:10" customFormat="1" ht="21" customHeight="1" x14ac:dyDescent="0.25">
      <c r="A266" s="326"/>
      <c r="B266" s="324"/>
      <c r="C266" s="324"/>
      <c r="D266" s="324"/>
      <c r="E266" s="324"/>
      <c r="F266" s="324"/>
      <c r="G266" s="324"/>
      <c r="H266" s="324"/>
    </row>
    <row r="267" spans="1:10" customFormat="1" ht="21" customHeight="1" x14ac:dyDescent="0.25"/>
    <row r="268" spans="1:10" customFormat="1" ht="21" customHeight="1" x14ac:dyDescent="0.35">
      <c r="A268" s="338" t="s">
        <v>292</v>
      </c>
      <c r="B268" s="338"/>
      <c r="C268" s="338"/>
      <c r="D268" s="338"/>
      <c r="E268" s="338"/>
      <c r="F268" s="338"/>
      <c r="G268" s="338"/>
      <c r="H268" s="338"/>
    </row>
    <row r="269" spans="1:10" customFormat="1" ht="18" customHeight="1" x14ac:dyDescent="0.25">
      <c r="B269" s="125"/>
      <c r="C269" s="125"/>
      <c r="D269" s="125"/>
    </row>
    <row r="270" spans="1:10" customFormat="1" ht="21" customHeight="1" x14ac:dyDescent="0.25">
      <c r="A270" s="123"/>
    </row>
    <row r="271" spans="1:10" s="211" customFormat="1" ht="21" customHeight="1" x14ac:dyDescent="0.35">
      <c r="A271" s="113" t="s">
        <v>293</v>
      </c>
      <c r="J271" s="188"/>
    </row>
    <row r="272" spans="1:10" customFormat="1" ht="21" customHeight="1" x14ac:dyDescent="0.25">
      <c r="A272" s="123" t="s">
        <v>294</v>
      </c>
      <c r="J272" s="138" t="s">
        <v>295</v>
      </c>
    </row>
    <row r="273" spans="1:10" customFormat="1" ht="21" customHeight="1" x14ac:dyDescent="0.25">
      <c r="A273" s="13" t="s">
        <v>111</v>
      </c>
      <c r="B273" s="15">
        <f>IF($C$9&gt;0,$C$9-3,"")</f>
        <v>2021</v>
      </c>
      <c r="C273" s="16">
        <f>IF($C$9&gt;0,$C$9-2,"")</f>
        <v>2022</v>
      </c>
      <c r="D273" s="16">
        <f>IF($C$9&gt;0,$C$9-1,"")</f>
        <v>2023</v>
      </c>
    </row>
    <row r="274" spans="1:10" customFormat="1" ht="21" customHeight="1" x14ac:dyDescent="0.25">
      <c r="A274" s="21" t="s">
        <v>296</v>
      </c>
      <c r="B274" s="190">
        <v>3</v>
      </c>
      <c r="C274" s="140">
        <v>7</v>
      </c>
      <c r="D274" s="140">
        <v>2</v>
      </c>
      <c r="E274" s="191">
        <f t="shared" ref="E274:E279" si="2">IF((SUM(B274:D274)&gt;0),AVERAGE(B274:D274),"")</f>
        <v>4</v>
      </c>
      <c r="J274" s="101" t="s">
        <v>297</v>
      </c>
    </row>
    <row r="275" spans="1:10" customFormat="1" ht="21" customHeight="1" x14ac:dyDescent="0.25">
      <c r="A275" s="21" t="s">
        <v>298</v>
      </c>
      <c r="B275" s="147">
        <v>1</v>
      </c>
      <c r="C275" s="127">
        <v>1</v>
      </c>
      <c r="D275" s="127">
        <v>1</v>
      </c>
      <c r="E275" s="191">
        <f t="shared" si="2"/>
        <v>1</v>
      </c>
      <c r="J275" s="101" t="s">
        <v>299</v>
      </c>
    </row>
    <row r="276" spans="1:10" customFormat="1" ht="21" customHeight="1" x14ac:dyDescent="0.25">
      <c r="A276" s="21" t="s">
        <v>300</v>
      </c>
      <c r="B276" s="147">
        <v>1</v>
      </c>
      <c r="C276" s="127">
        <v>4</v>
      </c>
      <c r="D276" s="127">
        <v>1</v>
      </c>
      <c r="E276" s="191">
        <f t="shared" si="2"/>
        <v>2</v>
      </c>
      <c r="J276" s="101" t="s">
        <v>299</v>
      </c>
    </row>
    <row r="277" spans="1:10" customFormat="1" ht="21" customHeight="1" x14ac:dyDescent="0.25">
      <c r="A277" s="21" t="s">
        <v>301</v>
      </c>
      <c r="B277" s="147">
        <v>1</v>
      </c>
      <c r="C277" s="127">
        <v>2</v>
      </c>
      <c r="D277" s="127">
        <v>0</v>
      </c>
      <c r="E277" s="191">
        <f t="shared" si="2"/>
        <v>1</v>
      </c>
      <c r="J277" s="101" t="s">
        <v>299</v>
      </c>
    </row>
    <row r="278" spans="1:10" customFormat="1" ht="21" customHeight="1" x14ac:dyDescent="0.25">
      <c r="A278" s="21" t="s">
        <v>302</v>
      </c>
      <c r="B278" s="147">
        <v>0</v>
      </c>
      <c r="C278" s="127">
        <v>0</v>
      </c>
      <c r="D278" s="127">
        <v>0</v>
      </c>
      <c r="E278" s="191" t="str">
        <f t="shared" si="2"/>
        <v/>
      </c>
      <c r="J278" s="101"/>
    </row>
    <row r="279" spans="1:10" customFormat="1" ht="21" customHeight="1" x14ac:dyDescent="0.25">
      <c r="A279" s="21" t="s">
        <v>303</v>
      </c>
      <c r="B279" s="33">
        <f>IF(B275+B276+B277+B278&gt;0,SUM(B275:B278),"")</f>
        <v>3</v>
      </c>
      <c r="C279" s="33">
        <f>IF(C275+C276+C277+C278&gt;0,SUM(C275:C278),"")</f>
        <v>7</v>
      </c>
      <c r="D279" s="33">
        <f>IF(D275+D276+D277+D278&gt;0,SUM(D275:D278),"")</f>
        <v>2</v>
      </c>
      <c r="E279" s="191">
        <f t="shared" si="2"/>
        <v>4</v>
      </c>
      <c r="J279" s="101" t="s">
        <v>304</v>
      </c>
    </row>
    <row r="280" spans="1:10" s="211" customFormat="1" ht="21" customHeight="1" x14ac:dyDescent="0.35">
      <c r="A280" s="113" t="s">
        <v>305</v>
      </c>
      <c r="B280" s="192"/>
      <c r="C280" s="192"/>
      <c r="D280" s="192"/>
      <c r="J280" s="188"/>
    </row>
    <row r="281" spans="1:10" customFormat="1" ht="21" customHeight="1" x14ac:dyDescent="0.25">
      <c r="A281" s="13" t="s">
        <v>111</v>
      </c>
      <c r="B281" s="15">
        <f>IF($C$9&gt;0,$C$9-3,"")</f>
        <v>2021</v>
      </c>
      <c r="C281" s="16">
        <f>IF($C$9&gt;0,$C$9-2,"")</f>
        <v>2022</v>
      </c>
      <c r="D281" s="16">
        <f>IF($C$9&gt;0,$C$9-1,"")</f>
        <v>2023</v>
      </c>
    </row>
    <row r="282" spans="1:10" customFormat="1" ht="21" customHeight="1" x14ac:dyDescent="0.25">
      <c r="A282" s="21" t="s">
        <v>66</v>
      </c>
      <c r="B282" s="147">
        <v>0</v>
      </c>
      <c r="C282" s="127">
        <v>1</v>
      </c>
      <c r="D282" s="127">
        <v>2</v>
      </c>
      <c r="E282" s="191">
        <f>IF((SUM(B282:D282)&gt;0),AVERAGE(B282:D282),"")</f>
        <v>1</v>
      </c>
      <c r="J282" s="101" t="s">
        <v>306</v>
      </c>
    </row>
    <row r="283" spans="1:10" customFormat="1" ht="21" customHeight="1" x14ac:dyDescent="0.25">
      <c r="A283" s="21" t="s">
        <v>68</v>
      </c>
      <c r="B283" s="147">
        <v>0</v>
      </c>
      <c r="C283" s="127">
        <v>2</v>
      </c>
      <c r="D283" s="127">
        <v>1</v>
      </c>
      <c r="E283" s="191">
        <f>IF((SUM(B283:D283)&gt;0),AVERAGE(B283:D283),"")</f>
        <v>1</v>
      </c>
      <c r="J283" s="101" t="s">
        <v>306</v>
      </c>
    </row>
    <row r="284" spans="1:10" customFormat="1" ht="21" customHeight="1" x14ac:dyDescent="0.25">
      <c r="A284" s="21" t="s">
        <v>70</v>
      </c>
      <c r="B284" s="147">
        <v>0</v>
      </c>
      <c r="C284" s="127">
        <v>0</v>
      </c>
      <c r="D284" s="127">
        <v>0</v>
      </c>
      <c r="E284" s="191" t="str">
        <f>IF((SUM(B284:D284)&gt;0),AVERAGE(B284:D284),"")</f>
        <v/>
      </c>
      <c r="J284" s="101" t="s">
        <v>306</v>
      </c>
    </row>
    <row r="285" spans="1:10" customFormat="1" ht="21" customHeight="1" x14ac:dyDescent="0.25">
      <c r="A285" s="21" t="s">
        <v>307</v>
      </c>
      <c r="B285" s="147">
        <v>0</v>
      </c>
      <c r="C285" s="127">
        <v>0</v>
      </c>
      <c r="D285" s="127">
        <v>0</v>
      </c>
      <c r="E285" s="191" t="str">
        <f>IF((SUM(B285:D285)&gt;0),AVERAGE(B285:D285),"")</f>
        <v/>
      </c>
      <c r="J285" s="101"/>
    </row>
    <row r="286" spans="1:10" customFormat="1" ht="21" customHeight="1" x14ac:dyDescent="0.25">
      <c r="A286" s="21" t="s">
        <v>204</v>
      </c>
      <c r="B286" s="33" t="str">
        <f>IF(B282+B283+B284+B285&gt;0,SUM(B282:B285),"")</f>
        <v/>
      </c>
      <c r="C286" s="33">
        <f>IF(C282+C283+C284+C285&gt;0,SUM(C282:C285),"")</f>
        <v>3</v>
      </c>
      <c r="D286" s="33">
        <f>IF(D282+D283+D284+D285&gt;0,SUM(D282:D285),"")</f>
        <v>3</v>
      </c>
      <c r="E286" s="191">
        <f>IF((SUM(B286:D286)&gt;0),AVERAGE(B286:D286),"")</f>
        <v>3</v>
      </c>
      <c r="J286" s="101" t="s">
        <v>308</v>
      </c>
    </row>
    <row r="287" spans="1:10" customFormat="1" ht="21" customHeight="1" x14ac:dyDescent="0.25">
      <c r="B287" s="126"/>
      <c r="C287" s="126"/>
      <c r="D287" s="126"/>
    </row>
    <row r="288" spans="1:10" s="211" customFormat="1" ht="21" customHeight="1" x14ac:dyDescent="0.35">
      <c r="A288" s="113" t="s">
        <v>309</v>
      </c>
      <c r="J288" s="188"/>
    </row>
    <row r="289" spans="1:10" customFormat="1" ht="21" customHeight="1" x14ac:dyDescent="0.25">
      <c r="A289" s="123" t="s">
        <v>310</v>
      </c>
    </row>
    <row r="290" spans="1:10" customFormat="1" ht="45" customHeight="1" x14ac:dyDescent="0.25">
      <c r="A290" s="18" t="s">
        <v>311</v>
      </c>
      <c r="B290" s="18" t="s">
        <v>312</v>
      </c>
      <c r="C290" s="18" t="s">
        <v>313</v>
      </c>
      <c r="D290" s="59" t="s">
        <v>314</v>
      </c>
      <c r="E290" s="59" t="s">
        <v>315</v>
      </c>
      <c r="F290" s="18" t="s">
        <v>316</v>
      </c>
      <c r="G290" s="59" t="s">
        <v>317</v>
      </c>
      <c r="H290" s="117"/>
    </row>
    <row r="291" spans="1:10" customFormat="1" ht="21" customHeight="1" x14ac:dyDescent="0.25">
      <c r="A291" s="193"/>
      <c r="B291" s="135"/>
      <c r="C291" s="127"/>
      <c r="D291" s="60" t="str">
        <f>IF(C291&gt;0,(B291*C291*0.18),"")</f>
        <v/>
      </c>
      <c r="E291" s="20" t="str">
        <f>IF(B291&gt;0,(B291*C291*0.82),"")</f>
        <v/>
      </c>
      <c r="F291" s="20" t="str">
        <f>IF(B291&gt;0,(B291*C291),"")</f>
        <v/>
      </c>
      <c r="G291" s="25" t="str">
        <f>IF(B291&gt;0,(F291/C12*1000),"")</f>
        <v/>
      </c>
      <c r="J291" s="101" t="s">
        <v>318</v>
      </c>
    </row>
    <row r="292" spans="1:10" customFormat="1" ht="21" customHeight="1" x14ac:dyDescent="0.25">
      <c r="A292" s="193"/>
      <c r="B292" s="135"/>
      <c r="C292" s="127"/>
      <c r="D292" s="60" t="str">
        <f>IF(C292&gt;0,(B292*C292*0.18),"")</f>
        <v/>
      </c>
      <c r="E292" s="20" t="str">
        <f>IF(B292&gt;0,(B292*C292*0.82),"")</f>
        <v/>
      </c>
      <c r="F292" s="20" t="str">
        <f>IF(B292&gt;0,(B292*C292),"")</f>
        <v/>
      </c>
      <c r="G292" s="25" t="str">
        <f>IF(B292&gt;0,(F292/C12*1000),"")</f>
        <v/>
      </c>
      <c r="J292" s="101" t="s">
        <v>318</v>
      </c>
    </row>
    <row r="293" spans="1:10" customFormat="1" ht="21" customHeight="1" x14ac:dyDescent="0.25">
      <c r="A293" s="193"/>
      <c r="B293" s="135"/>
      <c r="C293" s="127"/>
      <c r="D293" s="60" t="str">
        <f>IF(C293&gt;0,(B293*C293*0.18),"")</f>
        <v/>
      </c>
      <c r="E293" s="20" t="str">
        <f>IF(B293&gt;0,(B293*C293*0.82),"")</f>
        <v/>
      </c>
      <c r="F293" s="20" t="str">
        <f>IF(B293&gt;0,(B293*C293),"")</f>
        <v/>
      </c>
      <c r="G293" s="25" t="str">
        <f>IF(B293&gt;0,(F293/C12*1000),"")</f>
        <v/>
      </c>
      <c r="J293" s="101" t="s">
        <v>318</v>
      </c>
    </row>
    <row r="294" spans="1:10" customFormat="1" ht="21" customHeight="1" x14ac:dyDescent="0.25">
      <c r="A294" s="193"/>
      <c r="B294" s="135"/>
      <c r="C294" s="127"/>
      <c r="D294" s="60" t="str">
        <f>IF(C294&gt;0,(B294*C294*0.18),"")</f>
        <v/>
      </c>
      <c r="E294" s="20" t="str">
        <f>IF(B294&gt;0,(B294*C294*0.82),"")</f>
        <v/>
      </c>
      <c r="F294" s="20" t="str">
        <f>IF(B294&gt;0,(B294*C294),"")</f>
        <v/>
      </c>
      <c r="G294" s="25" t="str">
        <f>IF(B294&gt;0,(F294/C12*1000),"")</f>
        <v/>
      </c>
      <c r="J294" s="101" t="s">
        <v>318</v>
      </c>
    </row>
    <row r="295" spans="1:10" customFormat="1" ht="21" customHeight="1" x14ac:dyDescent="0.25">
      <c r="A295" s="193"/>
      <c r="B295" s="135"/>
      <c r="C295" s="127"/>
      <c r="D295" s="60" t="str">
        <f>IF(C295&gt;0,(B295*C295*0.18),"")</f>
        <v/>
      </c>
      <c r="E295" s="20" t="str">
        <f>IF(B295&gt;0,(B295*C295*0.82),"")</f>
        <v/>
      </c>
      <c r="F295" s="20" t="str">
        <f>IF(B295&gt;0,(B295*C295),"")</f>
        <v/>
      </c>
      <c r="G295" s="25" t="str">
        <f>IF(B295&gt;0,(F295/C12*1000),"")</f>
        <v/>
      </c>
      <c r="J295" s="101" t="s">
        <v>318</v>
      </c>
    </row>
    <row r="296" spans="1:10" customFormat="1" ht="21" customHeight="1" x14ac:dyDescent="0.25">
      <c r="A296" s="61"/>
      <c r="B296" s="62"/>
      <c r="C296" s="34" t="s">
        <v>319</v>
      </c>
      <c r="D296" s="20" t="str">
        <f>IF(B291+B292+B293+B294+B295&gt;0,SUM(D291:D295),"")</f>
        <v/>
      </c>
      <c r="E296" s="20" t="str">
        <f>IF(B291+B292+B293+B294+B295&gt;0,SUM(E291:E295),"")</f>
        <v/>
      </c>
      <c r="F296" s="20" t="str">
        <f>IF(B291+B292+B293+B294+B295&gt;0,SUM(F291:F295),"")</f>
        <v/>
      </c>
      <c r="G296" s="25" t="str">
        <f>IF(B291+B292+B293+B294+B295&gt;0,SUM(G291:G295),"")</f>
        <v/>
      </c>
      <c r="J296" s="101" t="s">
        <v>320</v>
      </c>
    </row>
    <row r="297" spans="1:10" customFormat="1" ht="21" customHeight="1" x14ac:dyDescent="0.25">
      <c r="C297" s="125"/>
      <c r="D297" s="194"/>
    </row>
    <row r="298" spans="1:10" customFormat="1" ht="45" customHeight="1" x14ac:dyDescent="0.25">
      <c r="A298" s="18" t="s">
        <v>321</v>
      </c>
      <c r="B298" s="18" t="s">
        <v>322</v>
      </c>
      <c r="C298" s="18" t="s">
        <v>323</v>
      </c>
      <c r="D298" s="59" t="s">
        <v>314</v>
      </c>
      <c r="E298" s="59" t="s">
        <v>315</v>
      </c>
      <c r="F298" s="18" t="s">
        <v>324</v>
      </c>
      <c r="G298" s="59" t="s">
        <v>317</v>
      </c>
    </row>
    <row r="299" spans="1:10" customFormat="1" ht="21" customHeight="1" x14ac:dyDescent="0.25">
      <c r="A299" s="158"/>
      <c r="B299" s="20" t="str">
        <f>IF(A299&gt;0,(A299*C12/100000),"")</f>
        <v/>
      </c>
      <c r="C299" s="195"/>
      <c r="D299" s="20" t="str">
        <f>IF(C299&gt;0,(0.07*F299),"")</f>
        <v/>
      </c>
      <c r="E299" s="20" t="str">
        <f>IF(C299&gt;0,(F299*0.93),"")</f>
        <v/>
      </c>
      <c r="F299" s="20" t="str">
        <f>IF(C299&gt;0,(A299*(C12/100000)*0.5*C299),"")</f>
        <v/>
      </c>
      <c r="G299" s="25" t="str">
        <f>IF(C299&gt;0,F299/C12*1000,"")</f>
        <v/>
      </c>
      <c r="J299" s="101" t="s">
        <v>325</v>
      </c>
    </row>
    <row r="300" spans="1:10" customFormat="1" ht="21" customHeight="1" x14ac:dyDescent="0.25">
      <c r="C300" s="125"/>
      <c r="D300" s="194"/>
    </row>
    <row r="301" spans="1:10" customFormat="1" ht="21" customHeight="1" x14ac:dyDescent="0.25">
      <c r="C301" s="19" t="s">
        <v>326</v>
      </c>
      <c r="D301" s="20" t="str">
        <f>IF(C291+C292+C293+C294+C295+C299&gt;0,SUM(D296:D299),"")</f>
        <v/>
      </c>
      <c r="E301" s="20" t="str">
        <f>IF(C291+C292+C293+C294+C295+C299&gt;0,SUM(E296:E299),"")</f>
        <v/>
      </c>
      <c r="F301" s="20" t="str">
        <f>IF(C291+C292+C293+C294+C295+C299&gt;0,SUM(F296:F299),"")</f>
        <v/>
      </c>
      <c r="G301" s="25" t="str">
        <f>IF(C291+C292+C293+C294+C295+C299&gt;0,SUM(G296:G299),"")</f>
        <v/>
      </c>
      <c r="J301" s="101" t="s">
        <v>327</v>
      </c>
    </row>
    <row r="302" spans="1:10" customFormat="1" ht="21" customHeight="1" x14ac:dyDescent="0.25">
      <c r="A302" s="123" t="s">
        <v>328</v>
      </c>
      <c r="C302" s="125"/>
      <c r="D302" s="194"/>
      <c r="J302" s="101"/>
    </row>
    <row r="303" spans="1:10" customFormat="1" ht="21" customHeight="1" x14ac:dyDescent="0.25">
      <c r="A303" s="123" t="s">
        <v>329</v>
      </c>
      <c r="C303" s="125"/>
      <c r="D303" s="194"/>
    </row>
    <row r="304" spans="1:10" customFormat="1" ht="21" customHeight="1" x14ac:dyDescent="0.25">
      <c r="A304" s="123" t="s">
        <v>330</v>
      </c>
    </row>
    <row r="305" spans="1:10" customFormat="1" ht="21" customHeight="1" x14ac:dyDescent="0.25">
      <c r="A305" s="123" t="s">
        <v>331</v>
      </c>
    </row>
    <row r="306" spans="1:10" customFormat="1" ht="21" customHeight="1" x14ac:dyDescent="0.25">
      <c r="A306" s="123"/>
    </row>
    <row r="307" spans="1:10" customFormat="1" ht="21" customHeight="1" x14ac:dyDescent="0.25">
      <c r="A307" s="123"/>
    </row>
    <row r="308" spans="1:10" customFormat="1" ht="21" customHeight="1" x14ac:dyDescent="0.35">
      <c r="A308" s="331" t="s">
        <v>332</v>
      </c>
      <c r="B308" s="331"/>
      <c r="C308" s="331"/>
      <c r="D308" s="331"/>
      <c r="E308" s="331"/>
      <c r="F308" s="331"/>
      <c r="G308" s="331"/>
      <c r="H308" s="331"/>
    </row>
    <row r="309" spans="1:10" customFormat="1" ht="21" customHeight="1" x14ac:dyDescent="0.25">
      <c r="A309" s="123"/>
    </row>
    <row r="310" spans="1:10" customFormat="1" ht="21" customHeight="1" x14ac:dyDescent="0.25">
      <c r="A310" s="314"/>
      <c r="B310" s="371"/>
      <c r="C310" s="22" t="s">
        <v>333</v>
      </c>
      <c r="D310" s="14" t="s">
        <v>334</v>
      </c>
      <c r="E310" s="14" t="s">
        <v>335</v>
      </c>
      <c r="F310" s="370" t="s">
        <v>336</v>
      </c>
      <c r="G310" s="370"/>
      <c r="H310" s="370"/>
      <c r="J310" s="196" t="s">
        <v>337</v>
      </c>
    </row>
    <row r="311" spans="1:10" customFormat="1" ht="21" customHeight="1" x14ac:dyDescent="0.25">
      <c r="A311" s="303" t="s">
        <v>338</v>
      </c>
      <c r="B311" s="330"/>
      <c r="C311" s="28">
        <f>IF(B60&gt;0, B60, "")</f>
        <v>3.6</v>
      </c>
      <c r="D311" s="30">
        <f>IF(F182&gt;0, F182, "")</f>
        <v>1.6</v>
      </c>
      <c r="E311" s="197"/>
      <c r="F311" s="329"/>
      <c r="G311" s="329"/>
      <c r="H311" s="329"/>
      <c r="J311" s="101" t="s">
        <v>339</v>
      </c>
    </row>
    <row r="312" spans="1:10" customFormat="1" ht="21" customHeight="1" x14ac:dyDescent="0.25">
      <c r="A312" s="303" t="s">
        <v>340</v>
      </c>
      <c r="B312" s="330"/>
      <c r="C312" s="29">
        <f>IF(B60&gt;0, C311*C12/1000, "")</f>
        <v>53.373599999999996</v>
      </c>
      <c r="D312" s="29">
        <f>IF(F182&gt;0, D311*C12/1000, "")</f>
        <v>23.721600000000002</v>
      </c>
      <c r="E312" s="198"/>
      <c r="F312" s="332"/>
      <c r="G312" s="333"/>
      <c r="H312" s="334"/>
      <c r="J312" s="101" t="s">
        <v>341</v>
      </c>
    </row>
    <row r="313" spans="1:10" customFormat="1" ht="21" customHeight="1" x14ac:dyDescent="0.25">
      <c r="A313" s="303" t="s">
        <v>342</v>
      </c>
      <c r="B313" s="330"/>
      <c r="C313" s="34">
        <f>IF(B63&gt;0, B63, "")</f>
        <v>0.35</v>
      </c>
      <c r="D313" s="34">
        <f>IF(C105+D105+E105&gt;0, AVERAGE(C105:E105), "")</f>
        <v>0.41</v>
      </c>
      <c r="E313" s="197"/>
      <c r="F313" s="329"/>
      <c r="G313" s="329"/>
      <c r="H313" s="329"/>
      <c r="J313" s="101" t="s">
        <v>343</v>
      </c>
    </row>
    <row r="314" spans="1:10" customFormat="1" ht="21" customHeight="1" x14ac:dyDescent="0.25">
      <c r="A314" s="303" t="s">
        <v>344</v>
      </c>
      <c r="B314" s="330"/>
      <c r="C314" s="51" t="str">
        <f>IF(B64&gt;0, B64, "")</f>
        <v>0.7</v>
      </c>
      <c r="D314" s="63">
        <f>IF(C104+D104+E104&gt;0, AVERAGE(C104:E104), "")</f>
        <v>0.69833333333333325</v>
      </c>
      <c r="E314" s="197"/>
      <c r="F314" s="329"/>
      <c r="G314" s="329"/>
      <c r="H314" s="329"/>
      <c r="J314" s="101" t="s">
        <v>343</v>
      </c>
    </row>
    <row r="315" spans="1:10" customFormat="1" ht="21" customHeight="1" x14ac:dyDescent="0.25">
      <c r="A315" s="303" t="s">
        <v>345</v>
      </c>
      <c r="B315" s="330"/>
      <c r="C315" s="34">
        <f>IF(B65&gt;0, B65, "")</f>
        <v>0.6</v>
      </c>
      <c r="D315" s="34">
        <f>IF(B87+C87+D87&gt;0, AVERAGE(B94:D94), "")</f>
        <v>0.54345776772247356</v>
      </c>
      <c r="E315" s="197"/>
      <c r="F315" s="329"/>
      <c r="G315" s="329"/>
      <c r="H315" s="329"/>
      <c r="J315" s="101" t="s">
        <v>343</v>
      </c>
    </row>
    <row r="316" spans="1:10" customFormat="1" ht="21" customHeight="1" x14ac:dyDescent="0.25">
      <c r="A316" s="303" t="s">
        <v>89</v>
      </c>
      <c r="B316" s="330"/>
      <c r="C316" s="33" t="str">
        <f>IF(B66&gt;0, B66, "")</f>
        <v/>
      </c>
      <c r="D316" s="20">
        <f>IF(D132+E132+F132&gt;0,AVERAGE(D132:F132), "")</f>
        <v>48</v>
      </c>
      <c r="E316" s="197"/>
      <c r="F316" s="329"/>
      <c r="G316" s="329"/>
      <c r="H316" s="329"/>
      <c r="J316" s="101" t="s">
        <v>343</v>
      </c>
    </row>
    <row r="317" spans="1:10" customFormat="1" ht="21" customHeight="1" x14ac:dyDescent="0.25">
      <c r="A317" s="303" t="s">
        <v>346</v>
      </c>
      <c r="B317" s="330"/>
      <c r="C317" s="34">
        <f>IF(F73&gt;0,F73, "")</f>
        <v>0.05</v>
      </c>
      <c r="D317" s="34">
        <f>IF(SUM(F240:H240)&gt;0, AVERAGE(E240:H240), "")</f>
        <v>0.18666666666666668</v>
      </c>
      <c r="E317" s="197"/>
      <c r="F317" s="329"/>
      <c r="G317" s="329"/>
      <c r="H317" s="329"/>
      <c r="J317" s="101" t="s">
        <v>347</v>
      </c>
    </row>
    <row r="318" spans="1:10" customFormat="1" ht="21" customHeight="1" x14ac:dyDescent="0.25">
      <c r="A318" s="303" t="str">
        <f>B243</f>
        <v>Andel ytor med gynnsam konkurrensstatus</v>
      </c>
      <c r="B318" s="330"/>
      <c r="C318" s="199"/>
      <c r="D318" s="34">
        <f>IF(SUM(E243:H243)&gt;0,AVERAGE(E243:H243),"")</f>
        <v>9.3333333333333338E-2</v>
      </c>
      <c r="E318" s="197"/>
      <c r="F318" s="329"/>
      <c r="G318" s="329"/>
      <c r="H318" s="329"/>
      <c r="J318" s="101" t="s">
        <v>348</v>
      </c>
    </row>
    <row r="319" spans="1:10" customFormat="1" ht="21" customHeight="1" x14ac:dyDescent="0.25">
      <c r="A319" s="303" t="s">
        <v>349</v>
      </c>
      <c r="B319" s="330"/>
      <c r="C319" s="199"/>
      <c r="D319" s="200"/>
      <c r="E319" s="197"/>
      <c r="F319" s="329"/>
      <c r="G319" s="329"/>
      <c r="H319" s="329"/>
      <c r="J319" s="101" t="s">
        <v>350</v>
      </c>
    </row>
    <row r="320" spans="1:10" customFormat="1" ht="21" customHeight="1" x14ac:dyDescent="0.25">
      <c r="A320" s="303" t="s">
        <v>351</v>
      </c>
      <c r="B320" s="330"/>
      <c r="C320" s="199"/>
      <c r="D320" s="31">
        <f>IF(D274&gt;0, D274, "")</f>
        <v>2</v>
      </c>
      <c r="E320" s="197"/>
      <c r="F320" s="329"/>
      <c r="G320" s="329"/>
      <c r="H320" s="329"/>
      <c r="J320" s="101" t="s">
        <v>352</v>
      </c>
    </row>
    <row r="321" spans="1:10" customFormat="1" ht="21" customHeight="1" x14ac:dyDescent="0.25">
      <c r="A321" s="303" t="s">
        <v>353</v>
      </c>
      <c r="B321" s="330"/>
      <c r="C321" s="199"/>
      <c r="D321" s="31">
        <f>IF(D286&gt;0, D286, "")</f>
        <v>3</v>
      </c>
      <c r="E321" s="197"/>
      <c r="F321" s="329"/>
      <c r="G321" s="329"/>
      <c r="H321" s="329"/>
      <c r="J321" s="101" t="s">
        <v>352</v>
      </c>
    </row>
    <row r="322" spans="1:10" customFormat="1" ht="21" customHeight="1" x14ac:dyDescent="0.25">
      <c r="A322" s="303" t="s">
        <v>354</v>
      </c>
      <c r="B322" s="330"/>
      <c r="C322" s="199"/>
      <c r="D322" s="31" t="str">
        <f>IF(F301&gt;0, F301, "")</f>
        <v/>
      </c>
      <c r="E322" s="197"/>
      <c r="F322" s="329"/>
      <c r="G322" s="329"/>
      <c r="H322" s="329"/>
      <c r="J322" s="101" t="s">
        <v>352</v>
      </c>
    </row>
    <row r="323" spans="1:10" customFormat="1" ht="21" customHeight="1" x14ac:dyDescent="0.25">
      <c r="A323" s="123"/>
    </row>
    <row r="324" spans="1:10" customFormat="1" ht="21" customHeight="1" x14ac:dyDescent="0.25"/>
    <row r="325" spans="1:10" customFormat="1" ht="21" customHeight="1" x14ac:dyDescent="0.35">
      <c r="A325" s="369" t="s">
        <v>355</v>
      </c>
      <c r="B325" s="369"/>
      <c r="C325" s="369"/>
      <c r="D325" s="369"/>
      <c r="E325" s="369"/>
      <c r="F325" s="369"/>
      <c r="G325" s="369"/>
      <c r="H325" s="369"/>
    </row>
    <row r="326" spans="1:10" customFormat="1" ht="21" customHeight="1" x14ac:dyDescent="0.3">
      <c r="A326" s="115"/>
      <c r="B326" s="115"/>
      <c r="C326" s="115"/>
      <c r="D326" s="115"/>
      <c r="E326" s="115"/>
      <c r="F326" s="115"/>
      <c r="G326" s="115"/>
      <c r="H326" s="115"/>
      <c r="J326" s="101"/>
    </row>
    <row r="327" spans="1:10" s="211" customFormat="1" ht="21" customHeight="1" x14ac:dyDescent="0.35">
      <c r="A327" s="113" t="s">
        <v>356</v>
      </c>
      <c r="J327" s="188"/>
    </row>
    <row r="328" spans="1:10" customFormat="1" ht="21" customHeight="1" x14ac:dyDescent="0.25">
      <c r="A328" s="101"/>
    </row>
    <row r="329" spans="1:10" customFormat="1" ht="21" customHeight="1" x14ac:dyDescent="0.25">
      <c r="A329" s="123" t="s">
        <v>111</v>
      </c>
      <c r="B329" s="16">
        <f>IF($C$9&gt;0,$C$9,"")</f>
        <v>2024</v>
      </c>
      <c r="C329" s="16">
        <f>IF($C$9&gt;0,$C$9+1,"")</f>
        <v>2025</v>
      </c>
      <c r="D329" s="16">
        <f>IF($C$9&gt;0,$C$9+2,"")</f>
        <v>2026</v>
      </c>
      <c r="E329" s="125"/>
      <c r="F329" s="327" t="s">
        <v>357</v>
      </c>
      <c r="G329" s="327"/>
      <c r="J329" s="101" t="s">
        <v>358</v>
      </c>
    </row>
    <row r="330" spans="1:10" customFormat="1" ht="21" customHeight="1" x14ac:dyDescent="0.25">
      <c r="A330" s="97" t="s">
        <v>66</v>
      </c>
      <c r="B330" s="201">
        <v>1</v>
      </c>
      <c r="C330" s="201"/>
      <c r="D330" s="201"/>
      <c r="E330" s="202"/>
      <c r="F330" s="359"/>
      <c r="G330" s="360"/>
      <c r="H330" s="361"/>
      <c r="J330" s="101" t="s">
        <v>359</v>
      </c>
    </row>
    <row r="331" spans="1:10" customFormat="1" ht="21" customHeight="1" x14ac:dyDescent="0.25">
      <c r="A331" s="97" t="s">
        <v>113</v>
      </c>
      <c r="B331" s="201">
        <v>0</v>
      </c>
      <c r="C331" s="201"/>
      <c r="D331" s="201"/>
      <c r="E331" s="202"/>
      <c r="F331" s="362"/>
      <c r="G331" s="363"/>
      <c r="H331" s="364"/>
      <c r="J331" s="101" t="s">
        <v>360</v>
      </c>
    </row>
    <row r="332" spans="1:10" customFormat="1" ht="21" customHeight="1" x14ac:dyDescent="0.25">
      <c r="A332" s="97" t="s">
        <v>70</v>
      </c>
      <c r="B332" s="201">
        <v>5</v>
      </c>
      <c r="C332" s="201"/>
      <c r="D332" s="201"/>
      <c r="E332" s="202"/>
      <c r="F332" s="365"/>
      <c r="G332" s="366"/>
      <c r="H332" s="367"/>
      <c r="J332" s="101" t="s">
        <v>361</v>
      </c>
    </row>
    <row r="333" spans="1:10" customFormat="1" ht="21" customHeight="1" x14ac:dyDescent="0.25">
      <c r="A333" s="97" t="s">
        <v>362</v>
      </c>
      <c r="B333" s="20">
        <f>IF(B330+B331+B332&gt;0,SUM(B330:B332), "")</f>
        <v>6</v>
      </c>
      <c r="C333" s="20" t="str">
        <f>IF(C330+C331+C332&gt;0,SUM(C330:C332), "")</f>
        <v/>
      </c>
      <c r="D333" s="20" t="str">
        <f>IF(D330+D331+D332&gt;0,SUM(D330:D332), "")</f>
        <v/>
      </c>
      <c r="E333" s="126"/>
      <c r="F333" s="126"/>
      <c r="G333" s="126"/>
      <c r="J333" s="101" t="s">
        <v>363</v>
      </c>
    </row>
    <row r="334" spans="1:10" customFormat="1" ht="21" customHeight="1" x14ac:dyDescent="0.25">
      <c r="A334" s="97" t="s">
        <v>364</v>
      </c>
      <c r="B334" s="34">
        <f>IF(B330+B331&gt;0,(B330/(B330+B331)),"")</f>
        <v>1</v>
      </c>
      <c r="C334" s="34" t="str">
        <f>IF(C330+C331&gt;0,(C330/(C330+C331)),"")</f>
        <v/>
      </c>
      <c r="D334" s="34" t="str">
        <f>IF(D330+D331&gt;0,(D330/(D330+D331)),"")</f>
        <v/>
      </c>
      <c r="E334" s="143"/>
      <c r="F334" s="143"/>
      <c r="G334" s="143"/>
      <c r="J334" s="101" t="s">
        <v>365</v>
      </c>
    </row>
    <row r="335" spans="1:10" customFormat="1" ht="21" customHeight="1" x14ac:dyDescent="0.25">
      <c r="A335" s="97" t="s">
        <v>366</v>
      </c>
      <c r="B335" s="34">
        <f>IF(B332&gt;0,(B332/B333),"")</f>
        <v>0.83333333333333337</v>
      </c>
      <c r="C335" s="34" t="str">
        <f>IF(C332&gt;0,(C332/C333),"")</f>
        <v/>
      </c>
      <c r="D335" s="34" t="str">
        <f>IF(D332&gt;0,(D332/D333),"")</f>
        <v/>
      </c>
      <c r="E335" s="143"/>
      <c r="F335" s="143"/>
      <c r="G335" s="143"/>
      <c r="J335" s="101" t="s">
        <v>367</v>
      </c>
    </row>
    <row r="336" spans="1:10" customFormat="1" ht="21" customHeight="1" x14ac:dyDescent="0.25">
      <c r="A336" s="97" t="s">
        <v>117</v>
      </c>
      <c r="B336" s="203">
        <v>14826</v>
      </c>
      <c r="C336" s="203">
        <v>14826</v>
      </c>
      <c r="D336" s="203">
        <v>14826</v>
      </c>
      <c r="J336" s="101" t="s">
        <v>368</v>
      </c>
    </row>
    <row r="337" spans="1:10" customFormat="1" ht="21" customHeight="1" x14ac:dyDescent="0.25">
      <c r="A337" s="97" t="s">
        <v>115</v>
      </c>
      <c r="B337" s="25">
        <f>IF(B330+B331+B332&gt;0,B333/B336*1000,"")</f>
        <v>0.40469445568595713</v>
      </c>
      <c r="C337" s="25" t="str">
        <f>IF(C330+C331+C332&gt;0,C333/C336*1000,"")</f>
        <v/>
      </c>
      <c r="D337" s="25" t="str">
        <f>IF(D330+D331+D332&gt;0,D333/D336*1000,"")</f>
        <v/>
      </c>
      <c r="E337" s="204"/>
      <c r="F337" s="204"/>
      <c r="G337" s="204"/>
      <c r="J337" s="101" t="s">
        <v>369</v>
      </c>
    </row>
    <row r="338" spans="1:10" customFormat="1" ht="21" customHeight="1" x14ac:dyDescent="0.25">
      <c r="A338" s="123"/>
    </row>
    <row r="339" spans="1:10" customFormat="1" ht="21" customHeight="1" x14ac:dyDescent="0.25">
      <c r="A339" s="142" t="s">
        <v>370</v>
      </c>
    </row>
    <row r="340" spans="1:10" customFormat="1" ht="21" customHeight="1" x14ac:dyDescent="0.25">
      <c r="A340" s="325"/>
      <c r="B340" s="325"/>
      <c r="C340" s="325"/>
      <c r="D340" s="325"/>
      <c r="E340" s="325"/>
      <c r="F340" s="325"/>
      <c r="G340" s="325"/>
      <c r="H340" s="325"/>
    </row>
    <row r="341" spans="1:10" customFormat="1" ht="21" customHeight="1" x14ac:dyDescent="0.25">
      <c r="A341" s="323"/>
      <c r="B341" s="324"/>
      <c r="C341" s="324"/>
      <c r="D341" s="324"/>
      <c r="E341" s="324"/>
      <c r="F341" s="324"/>
      <c r="G341" s="324"/>
      <c r="H341" s="324"/>
    </row>
    <row r="342" spans="1:10" customFormat="1" ht="21" customHeight="1" x14ac:dyDescent="0.25">
      <c r="A342" s="123"/>
    </row>
    <row r="343" spans="1:10" s="211" customFormat="1" ht="21" customHeight="1" x14ac:dyDescent="0.35">
      <c r="A343" s="205" t="s">
        <v>371</v>
      </c>
      <c r="J343" s="188"/>
    </row>
    <row r="344" spans="1:10" customFormat="1" ht="21" customHeight="1" x14ac:dyDescent="0.25">
      <c r="A344" s="64" t="s">
        <v>111</v>
      </c>
      <c r="B344" s="23">
        <f>IF(C9&gt;0,C9+1,"")</f>
        <v>2025</v>
      </c>
      <c r="C344" s="17">
        <f>IF(C9&gt;0,C9+2,"")</f>
        <v>2026</v>
      </c>
      <c r="D344" s="17">
        <f>IF(C9&gt;0,C9+3,"")</f>
        <v>2027</v>
      </c>
    </row>
    <row r="345" spans="1:10" customFormat="1" ht="21" customHeight="1" x14ac:dyDescent="0.25">
      <c r="A345" s="27" t="s">
        <v>372</v>
      </c>
      <c r="B345" s="206"/>
      <c r="C345" s="207"/>
      <c r="D345" s="207"/>
      <c r="J345" s="101" t="s">
        <v>373</v>
      </c>
    </row>
    <row r="346" spans="1:10" customFormat="1" ht="21" customHeight="1" x14ac:dyDescent="0.25">
      <c r="A346" s="27" t="s">
        <v>374</v>
      </c>
      <c r="B346" s="206"/>
      <c r="C346" s="207"/>
      <c r="D346" s="207"/>
      <c r="J346" s="101" t="s">
        <v>373</v>
      </c>
    </row>
    <row r="347" spans="1:10" customFormat="1" ht="21" customHeight="1" x14ac:dyDescent="0.25">
      <c r="A347" s="27" t="s">
        <v>375</v>
      </c>
      <c r="B347" s="206"/>
      <c r="C347" s="207"/>
      <c r="D347" s="207"/>
      <c r="J347" s="101" t="s">
        <v>373</v>
      </c>
    </row>
    <row r="348" spans="1:10" customFormat="1" ht="21" customHeight="1" x14ac:dyDescent="0.25">
      <c r="A348" s="27" t="s">
        <v>376</v>
      </c>
      <c r="B348" s="206"/>
      <c r="C348" s="207"/>
      <c r="D348" s="207"/>
      <c r="J348" s="101" t="s">
        <v>377</v>
      </c>
    </row>
    <row r="349" spans="1:10" customFormat="1" ht="21" customHeight="1" x14ac:dyDescent="0.25">
      <c r="A349" s="27" t="s">
        <v>378</v>
      </c>
      <c r="B349" s="206"/>
      <c r="C349" s="207"/>
      <c r="D349" s="207"/>
      <c r="J349" s="101" t="s">
        <v>377</v>
      </c>
    </row>
    <row r="350" spans="1:10" customFormat="1" ht="21" customHeight="1" x14ac:dyDescent="0.25">
      <c r="A350" s="27" t="s">
        <v>379</v>
      </c>
      <c r="B350" s="206"/>
      <c r="C350" s="207"/>
      <c r="D350" s="207"/>
      <c r="J350" s="101" t="s">
        <v>377</v>
      </c>
    </row>
    <row r="351" spans="1:10" customFormat="1" ht="21" customHeight="1" x14ac:dyDescent="0.25">
      <c r="A351" s="27" t="s">
        <v>380</v>
      </c>
      <c r="B351" s="206"/>
      <c r="C351" s="207"/>
      <c r="D351" s="207"/>
      <c r="J351" s="101" t="s">
        <v>377</v>
      </c>
    </row>
    <row r="352" spans="1:10" customFormat="1" ht="21" customHeight="1" x14ac:dyDescent="0.25">
      <c r="A352" s="132" t="s">
        <v>381</v>
      </c>
      <c r="B352" s="208"/>
      <c r="C352" s="208"/>
      <c r="D352" s="208"/>
    </row>
    <row r="353" spans="1:12" customFormat="1" ht="21" customHeight="1" x14ac:dyDescent="0.25">
      <c r="A353" s="321"/>
      <c r="B353" s="322"/>
      <c r="C353" s="322"/>
      <c r="D353" s="322"/>
      <c r="E353" s="322"/>
      <c r="F353" s="322"/>
      <c r="G353" s="322"/>
      <c r="H353" s="322"/>
    </row>
    <row r="354" spans="1:12" customFormat="1" ht="21" customHeight="1" x14ac:dyDescent="0.25">
      <c r="A354" s="323"/>
      <c r="B354" s="324"/>
      <c r="C354" s="324"/>
      <c r="D354" s="324"/>
      <c r="E354" s="324"/>
      <c r="F354" s="324"/>
      <c r="G354" s="324"/>
      <c r="H354" s="324"/>
    </row>
    <row r="355" spans="1:12" customFormat="1" ht="21" customHeight="1" x14ac:dyDescent="0.25">
      <c r="A355" s="123"/>
      <c r="B355" s="142"/>
      <c r="C355" s="142"/>
      <c r="D355" s="142"/>
    </row>
    <row r="356" spans="1:12" customFormat="1" ht="21" customHeight="1" x14ac:dyDescent="0.25">
      <c r="A356" s="123"/>
      <c r="B356" s="142"/>
      <c r="C356" s="142"/>
      <c r="D356" s="142"/>
    </row>
    <row r="357" spans="1:12" customFormat="1" ht="21" customHeight="1" x14ac:dyDescent="0.25">
      <c r="A357" s="123"/>
      <c r="B357" s="142"/>
      <c r="C357" s="142"/>
      <c r="D357" s="142"/>
    </row>
    <row r="358" spans="1:12" customFormat="1" ht="21" customHeight="1" x14ac:dyDescent="0.35">
      <c r="A358" s="368" t="s">
        <v>382</v>
      </c>
      <c r="B358" s="368"/>
      <c r="C358" s="368"/>
      <c r="D358" s="368"/>
      <c r="E358" s="368"/>
      <c r="F358" s="368"/>
      <c r="G358" s="368"/>
      <c r="H358" s="368"/>
    </row>
    <row r="359" spans="1:12" customFormat="1" ht="21" customHeight="1" x14ac:dyDescent="0.3">
      <c r="A359" s="115"/>
      <c r="B359" s="115"/>
      <c r="C359" s="115"/>
      <c r="D359" s="115"/>
      <c r="E359" s="115"/>
      <c r="F359" s="115"/>
      <c r="G359" s="115"/>
      <c r="H359" s="115"/>
      <c r="J359" s="101"/>
    </row>
    <row r="360" spans="1:12" customFormat="1" ht="21" customHeight="1" x14ac:dyDescent="0.35">
      <c r="A360" s="113" t="s">
        <v>383</v>
      </c>
      <c r="B360" s="123"/>
      <c r="C360" s="123"/>
      <c r="D360" s="123"/>
      <c r="J360" s="101"/>
    </row>
    <row r="361" spans="1:12" customFormat="1" ht="21" customHeight="1" x14ac:dyDescent="0.25">
      <c r="A361" s="103" t="s">
        <v>384</v>
      </c>
      <c r="B361" s="123"/>
      <c r="C361" s="123"/>
      <c r="D361" s="123"/>
      <c r="J361" s="101"/>
      <c r="L361" s="101"/>
    </row>
    <row r="362" spans="1:12" customFormat="1" ht="21" customHeight="1" x14ac:dyDescent="0.25">
      <c r="B362" s="142"/>
      <c r="C362" s="142"/>
      <c r="D362" s="142"/>
      <c r="J362" s="101"/>
      <c r="L362" s="101"/>
    </row>
    <row r="363" spans="1:12" customFormat="1" ht="21" customHeight="1" x14ac:dyDescent="0.25">
      <c r="B363" s="142"/>
      <c r="C363" s="142"/>
      <c r="D363" s="142"/>
      <c r="J363" s="101"/>
      <c r="L363" s="101"/>
    </row>
    <row r="364" spans="1:12" customFormat="1" ht="21" customHeight="1" x14ac:dyDescent="0.25">
      <c r="J364" s="101"/>
      <c r="L364" s="101"/>
    </row>
    <row r="365" spans="1:12" customFormat="1" ht="21" customHeight="1" x14ac:dyDescent="0.25">
      <c r="A365" s="317" t="s">
        <v>1258</v>
      </c>
      <c r="B365" s="317"/>
      <c r="J365" s="101" t="s">
        <v>385</v>
      </c>
      <c r="L365" s="101"/>
    </row>
    <row r="366" spans="1:12" customFormat="1" ht="21" customHeight="1" x14ac:dyDescent="0.25">
      <c r="A366" s="209" t="s">
        <v>386</v>
      </c>
      <c r="J366" s="101"/>
      <c r="L366" s="101"/>
    </row>
    <row r="367" spans="1:12" customFormat="1" ht="21" customHeight="1" x14ac:dyDescent="0.25">
      <c r="A367" s="318"/>
      <c r="B367" s="318"/>
      <c r="J367" s="101"/>
      <c r="L367" s="101"/>
    </row>
    <row r="368" spans="1:12" customFormat="1" ht="21" customHeight="1" x14ac:dyDescent="0.25">
      <c r="A368" s="209" t="s">
        <v>387</v>
      </c>
      <c r="D368" s="97" t="s">
        <v>388</v>
      </c>
      <c r="J368" s="101"/>
    </row>
    <row r="369" spans="1:10" customFormat="1" ht="21" customHeight="1" x14ac:dyDescent="0.25">
      <c r="A369" s="92" t="s">
        <v>389</v>
      </c>
      <c r="D369" s="210"/>
      <c r="J369" s="101"/>
    </row>
    <row r="370" spans="1:10" customFormat="1" ht="21" customHeight="1" x14ac:dyDescent="0.25">
      <c r="A370" s="92" t="s">
        <v>390</v>
      </c>
      <c r="D370" s="210"/>
      <c r="J370" s="101"/>
    </row>
    <row r="371" spans="1:10" customFormat="1" ht="21" customHeight="1" x14ac:dyDescent="0.25">
      <c r="D371" s="208"/>
      <c r="J371" s="101"/>
    </row>
    <row r="372" spans="1:10" customFormat="1" ht="21" customHeight="1" x14ac:dyDescent="0.25">
      <c r="D372" s="208"/>
      <c r="J372" s="101"/>
    </row>
    <row r="373" spans="1:10" customFormat="1" ht="21" customHeight="1" x14ac:dyDescent="0.25">
      <c r="A373" s="317"/>
      <c r="B373" s="317"/>
      <c r="J373" s="101" t="s">
        <v>391</v>
      </c>
    </row>
    <row r="374" spans="1:10" customFormat="1" ht="21" customHeight="1" x14ac:dyDescent="0.25">
      <c r="A374" s="209" t="s">
        <v>392</v>
      </c>
      <c r="J374" s="101"/>
    </row>
    <row r="375" spans="1:10" customFormat="1" ht="21" customHeight="1" x14ac:dyDescent="0.25">
      <c r="A375" s="318"/>
      <c r="B375" s="318"/>
      <c r="J375" s="101"/>
    </row>
    <row r="376" spans="1:10" customFormat="1" ht="21" customHeight="1" x14ac:dyDescent="0.25">
      <c r="A376" s="209" t="s">
        <v>387</v>
      </c>
      <c r="J376" s="101"/>
    </row>
    <row r="377" spans="1:10" customFormat="1" ht="21" customHeight="1" x14ac:dyDescent="0.25">
      <c r="A377" s="316"/>
      <c r="B377" s="316"/>
      <c r="C377" s="316"/>
      <c r="D377" s="316"/>
      <c r="E377" s="316"/>
      <c r="J377" s="101" t="s">
        <v>393</v>
      </c>
    </row>
    <row r="378" spans="1:10" customFormat="1" ht="21" customHeight="1" x14ac:dyDescent="0.25">
      <c r="A378" s="316"/>
      <c r="B378" s="316"/>
      <c r="C378" s="316"/>
      <c r="D378" s="316"/>
      <c r="E378" s="316"/>
      <c r="J378" s="101"/>
    </row>
    <row r="379" spans="1:10" customFormat="1" ht="21" customHeight="1" x14ac:dyDescent="0.25">
      <c r="A379" s="316"/>
      <c r="B379" s="316"/>
      <c r="C379" s="316"/>
      <c r="D379" s="316"/>
      <c r="E379" s="316"/>
      <c r="J379" s="101"/>
    </row>
    <row r="380" spans="1:10" customFormat="1" ht="21" customHeight="1" x14ac:dyDescent="0.25">
      <c r="A380" s="209" t="s">
        <v>394</v>
      </c>
      <c r="J380" s="101"/>
    </row>
    <row r="381" spans="1:10" customFormat="1" ht="21" customHeight="1" x14ac:dyDescent="0.25">
      <c r="J381" s="101"/>
    </row>
    <row r="382" spans="1:10" customFormat="1" ht="21" customHeight="1" x14ac:dyDescent="0.35">
      <c r="A382" s="113" t="s">
        <v>395</v>
      </c>
      <c r="J382" s="101"/>
    </row>
    <row r="383" spans="1:10" customFormat="1" ht="21" customHeight="1" x14ac:dyDescent="0.25">
      <c r="A383" s="316"/>
      <c r="B383" s="316"/>
      <c r="C383" s="316"/>
      <c r="D383" s="316"/>
      <c r="E383" s="316"/>
      <c r="J383" s="101" t="s">
        <v>396</v>
      </c>
    </row>
    <row r="384" spans="1:10" customFormat="1" ht="21" customHeight="1" x14ac:dyDescent="0.25">
      <c r="A384" s="316"/>
      <c r="B384" s="316"/>
      <c r="C384" s="316"/>
      <c r="D384" s="316"/>
      <c r="E384" s="316"/>
      <c r="J384" s="101"/>
    </row>
    <row r="385" spans="1:10" customFormat="1" ht="21" customHeight="1" x14ac:dyDescent="0.25">
      <c r="A385" s="316"/>
      <c r="B385" s="316"/>
      <c r="C385" s="316"/>
      <c r="D385" s="316"/>
      <c r="E385" s="316"/>
      <c r="J385" s="101"/>
    </row>
    <row r="386" spans="1:10" customFormat="1" ht="21" customHeight="1" x14ac:dyDescent="0.25">
      <c r="J386" s="101"/>
    </row>
    <row r="387" spans="1:10" customFormat="1" ht="21" customHeight="1" x14ac:dyDescent="0.25">
      <c r="J387" s="101"/>
    </row>
    <row r="388" spans="1:10" customFormat="1" ht="21" customHeight="1" x14ac:dyDescent="0.25">
      <c r="J388" s="101"/>
    </row>
    <row r="389" spans="1:10" customFormat="1" ht="21" customHeight="1" x14ac:dyDescent="0.25">
      <c r="J389" s="101"/>
    </row>
    <row r="390" spans="1:10" customFormat="1" ht="21" customHeight="1" x14ac:dyDescent="0.25">
      <c r="J390" s="101"/>
    </row>
    <row r="391" spans="1:10" customFormat="1" ht="21" customHeight="1" x14ac:dyDescent="0.25">
      <c r="J391" s="101"/>
    </row>
    <row r="392" spans="1:10" customFormat="1" ht="21" customHeight="1" x14ac:dyDescent="0.25">
      <c r="J392" s="101"/>
    </row>
    <row r="393" spans="1:10" customFormat="1" ht="21" customHeight="1" x14ac:dyDescent="0.25">
      <c r="J393" s="101"/>
    </row>
    <row r="394" spans="1:10" customFormat="1" ht="21" customHeight="1" x14ac:dyDescent="0.25">
      <c r="J394" s="101"/>
    </row>
    <row r="395" spans="1:10" customFormat="1" ht="21" customHeight="1" x14ac:dyDescent="0.25">
      <c r="J395" s="101"/>
    </row>
    <row r="396" spans="1:10" customFormat="1" ht="21" customHeight="1" x14ac:dyDescent="0.25">
      <c r="J396" s="101"/>
    </row>
    <row r="397" spans="1:10" customFormat="1" ht="21" customHeight="1" x14ac:dyDescent="0.25">
      <c r="J397" s="101"/>
    </row>
    <row r="398" spans="1:10" customFormat="1" ht="21" customHeight="1" x14ac:dyDescent="0.25">
      <c r="J398" s="101"/>
    </row>
    <row r="399" spans="1:10" customFormat="1" ht="21" customHeight="1" x14ac:dyDescent="0.25">
      <c r="J399" s="101"/>
    </row>
    <row r="400" spans="1:10" customFormat="1" ht="21" customHeight="1" x14ac:dyDescent="0.25">
      <c r="J400" s="101"/>
    </row>
    <row r="401" spans="10:10" customFormat="1" ht="21" customHeight="1" x14ac:dyDescent="0.25">
      <c r="J401" s="101"/>
    </row>
    <row r="402" spans="10:10" customFormat="1" ht="21" customHeight="1" x14ac:dyDescent="0.25">
      <c r="J402" s="101"/>
    </row>
    <row r="403" spans="10:10" customFormat="1" ht="21" customHeight="1" x14ac:dyDescent="0.25">
      <c r="J403" s="101"/>
    </row>
    <row r="404" spans="10:10" customFormat="1" ht="21" customHeight="1" x14ac:dyDescent="0.25">
      <c r="J404" s="101"/>
    </row>
    <row r="405" spans="10:10" customFormat="1" ht="21" customHeight="1" x14ac:dyDescent="0.25">
      <c r="J405" s="101"/>
    </row>
    <row r="406" spans="10:10" customFormat="1" ht="21" customHeight="1" x14ac:dyDescent="0.25">
      <c r="J406" s="101"/>
    </row>
    <row r="407" spans="10:10" customFormat="1" ht="21" customHeight="1" x14ac:dyDescent="0.25">
      <c r="J407" s="101"/>
    </row>
    <row r="408" spans="10:10" customFormat="1" ht="21" customHeight="1" x14ac:dyDescent="0.25">
      <c r="J408" s="101"/>
    </row>
  </sheetData>
  <sheetProtection password="DB3D" sheet="1" objects="1" scenarios="1"/>
  <dataConsolidate/>
  <mergeCells count="110">
    <mergeCell ref="B242:D242"/>
    <mergeCell ref="A32:G32"/>
    <mergeCell ref="A175:H175"/>
    <mergeCell ref="A134:H134"/>
    <mergeCell ref="A135:H135"/>
    <mergeCell ref="A174:H174"/>
    <mergeCell ref="A156:H156"/>
    <mergeCell ref="A165:H165"/>
    <mergeCell ref="A164:H164"/>
    <mergeCell ref="A145:H145"/>
    <mergeCell ref="A146:H146"/>
    <mergeCell ref="A155:H155"/>
    <mergeCell ref="B73:E73"/>
    <mergeCell ref="B74:E74"/>
    <mergeCell ref="A34:G34"/>
    <mergeCell ref="A36:G36"/>
    <mergeCell ref="B75:E75"/>
    <mergeCell ref="B76:E76"/>
    <mergeCell ref="A193:H193"/>
    <mergeCell ref="A194:H194"/>
    <mergeCell ref="A69:H69"/>
    <mergeCell ref="A70:H70"/>
    <mergeCell ref="A383:E383"/>
    <mergeCell ref="A384:E384"/>
    <mergeCell ref="A385:E385"/>
    <mergeCell ref="F330:H332"/>
    <mergeCell ref="A358:H358"/>
    <mergeCell ref="A226:H226"/>
    <mergeCell ref="A317:B317"/>
    <mergeCell ref="A318:B318"/>
    <mergeCell ref="A311:B311"/>
    <mergeCell ref="A313:B313"/>
    <mergeCell ref="A314:B314"/>
    <mergeCell ref="A319:B319"/>
    <mergeCell ref="A325:H325"/>
    <mergeCell ref="F310:H310"/>
    <mergeCell ref="A228:H228"/>
    <mergeCell ref="A268:H268"/>
    <mergeCell ref="A256:H256"/>
    <mergeCell ref="A310:B310"/>
    <mergeCell ref="F311:H311"/>
    <mergeCell ref="F313:H313"/>
    <mergeCell ref="A312:B312"/>
    <mergeCell ref="B240:D240"/>
    <mergeCell ref="B241:D241"/>
    <mergeCell ref="B252:C252"/>
    <mergeCell ref="C10:E10"/>
    <mergeCell ref="A124:H124"/>
    <mergeCell ref="C14:E14"/>
    <mergeCell ref="A97:H97"/>
    <mergeCell ref="A107:H107"/>
    <mergeCell ref="A108:H108"/>
    <mergeCell ref="A44:H44"/>
    <mergeCell ref="A46:H46"/>
    <mergeCell ref="B50:H50"/>
    <mergeCell ref="C11:E11"/>
    <mergeCell ref="C15:E15"/>
    <mergeCell ref="C17:E17"/>
    <mergeCell ref="A96:H96"/>
    <mergeCell ref="A122:H122"/>
    <mergeCell ref="A123:H123"/>
    <mergeCell ref="D13:E13"/>
    <mergeCell ref="A20:H20"/>
    <mergeCell ref="A22:H22"/>
    <mergeCell ref="A78:H78"/>
    <mergeCell ref="C16:E16"/>
    <mergeCell ref="A28:G28"/>
    <mergeCell ref="A30:G30"/>
    <mergeCell ref="A23:H23"/>
    <mergeCell ref="A24:H24"/>
    <mergeCell ref="F317:H317"/>
    <mergeCell ref="F318:H318"/>
    <mergeCell ref="A322:B322"/>
    <mergeCell ref="A321:B321"/>
    <mergeCell ref="F321:H321"/>
    <mergeCell ref="F319:H319"/>
    <mergeCell ref="A315:B315"/>
    <mergeCell ref="F315:H315"/>
    <mergeCell ref="A258:H258"/>
    <mergeCell ref="A259:H259"/>
    <mergeCell ref="A308:H308"/>
    <mergeCell ref="F312:H312"/>
    <mergeCell ref="A265:H265"/>
    <mergeCell ref="A320:B320"/>
    <mergeCell ref="F320:H320"/>
    <mergeCell ref="A316:B316"/>
    <mergeCell ref="B243:D243"/>
    <mergeCell ref="B244:D244"/>
    <mergeCell ref="A239:B239"/>
    <mergeCell ref="J1:K1"/>
    <mergeCell ref="A379:E379"/>
    <mergeCell ref="A378:E378"/>
    <mergeCell ref="A377:E377"/>
    <mergeCell ref="A365:B365"/>
    <mergeCell ref="A367:B367"/>
    <mergeCell ref="A373:B373"/>
    <mergeCell ref="A375:B375"/>
    <mergeCell ref="A72:H72"/>
    <mergeCell ref="C1:E1"/>
    <mergeCell ref="A353:H353"/>
    <mergeCell ref="A354:H354"/>
    <mergeCell ref="A340:H340"/>
    <mergeCell ref="A341:H341"/>
    <mergeCell ref="A266:H266"/>
    <mergeCell ref="F329:G329"/>
    <mergeCell ref="B254:H254"/>
    <mergeCell ref="A257:H257"/>
    <mergeCell ref="F314:H314"/>
    <mergeCell ref="F322:H322"/>
    <mergeCell ref="F316:H316"/>
  </mergeCells>
  <conditionalFormatting sqref="B89:D89">
    <cfRule type="containsErrors" dxfId="3" priority="4">
      <formula>ISERROR(B89)</formula>
    </cfRule>
  </conditionalFormatting>
  <conditionalFormatting sqref="B116:F119">
    <cfRule type="containsErrors" dxfId="2" priority="1">
      <formula>ISERROR(B116)</formula>
    </cfRule>
  </conditionalFormatting>
  <conditionalFormatting sqref="G116">
    <cfRule type="containsErrors" dxfId="1" priority="2">
      <formula>ISERROR(G116)</formula>
    </cfRule>
  </conditionalFormatting>
  <conditionalFormatting sqref="G119">
    <cfRule type="containsErrors" dxfId="0" priority="3">
      <formula>ISERROR(G119)</formula>
    </cfRule>
  </conditionalFormatting>
  <hyperlinks>
    <hyperlink ref="J204" r:id="rId1" xr:uid="{00000000-0004-0000-0300-000000000000}"/>
  </hyperlinks>
  <pageMargins left="0.47244094488188981" right="0.43307086614173229" top="0.70866141732283472" bottom="0.70866141732283472" header="0.27559055118110237" footer="0.27559055118110237"/>
  <pageSetup paperSize="9" scale="70" orientation="portrait" r:id="rId2"/>
  <headerFooter>
    <oddHeader>&amp;L&amp;22ÄLGSKÖTSELSPLAN&amp;RVersion 2.1 uppdaterad 2018-04-18</oddHeader>
    <oddFooter>&amp;L&amp;KFF0000&amp;F</oddFooter>
  </headerFooter>
  <rowBreaks count="10" manualBreakCount="10">
    <brk id="25" max="7" man="1"/>
    <brk id="43" max="16383" man="1"/>
    <brk id="77" max="7" man="1"/>
    <brk id="123" max="7" man="1"/>
    <brk id="176" max="7" man="1"/>
    <brk id="225" max="7" man="1"/>
    <brk id="267" max="7" man="1"/>
    <brk id="307" max="7" man="1"/>
    <brk id="357" max="7" man="1"/>
    <brk id="389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 altText="Beslutad av _x000a_Länsstyrelsen">
                <anchor moveWithCells="1">
                  <from>
                    <xdr:col>5</xdr:col>
                    <xdr:colOff>19050</xdr:colOff>
                    <xdr:row>329</xdr:row>
                    <xdr:rowOff>0</xdr:rowOff>
                  </from>
                  <to>
                    <xdr:col>7</xdr:col>
                    <xdr:colOff>57150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196</xdr:row>
                    <xdr:rowOff>9525</xdr:rowOff>
                  </from>
                  <to>
                    <xdr:col>2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196</xdr:row>
                    <xdr:rowOff>9525</xdr:rowOff>
                  </from>
                  <to>
                    <xdr:col>2</xdr:col>
                    <xdr:colOff>923925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196</xdr:row>
                    <xdr:rowOff>9525</xdr:rowOff>
                  </from>
                  <to>
                    <xdr:col>4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197</xdr:row>
                    <xdr:rowOff>9525</xdr:rowOff>
                  </from>
                  <to>
                    <xdr:col>2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197</xdr:row>
                    <xdr:rowOff>9525</xdr:rowOff>
                  </from>
                  <to>
                    <xdr:col>2</xdr:col>
                    <xdr:colOff>923925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197</xdr:row>
                    <xdr:rowOff>9525</xdr:rowOff>
                  </from>
                  <to>
                    <xdr:col>4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198</xdr:row>
                    <xdr:rowOff>9525</xdr:rowOff>
                  </from>
                  <to>
                    <xdr:col>2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198</xdr:row>
                    <xdr:rowOff>9525</xdr:rowOff>
                  </from>
                  <to>
                    <xdr:col>2</xdr:col>
                    <xdr:colOff>923925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198</xdr:row>
                    <xdr:rowOff>9525</xdr:rowOff>
                  </from>
                  <to>
                    <xdr:col>4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199</xdr:row>
                    <xdr:rowOff>9525</xdr:rowOff>
                  </from>
                  <to>
                    <xdr:col>2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199</xdr:row>
                    <xdr:rowOff>9525</xdr:rowOff>
                  </from>
                  <to>
                    <xdr:col>2</xdr:col>
                    <xdr:colOff>923925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199</xdr:row>
                    <xdr:rowOff>9525</xdr:rowOff>
                  </from>
                  <to>
                    <xdr:col>4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178</xdr:row>
                    <xdr:rowOff>9525</xdr:rowOff>
                  </from>
                  <to>
                    <xdr:col>2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178</xdr:row>
                    <xdr:rowOff>9525</xdr:rowOff>
                  </from>
                  <to>
                    <xdr:col>2</xdr:col>
                    <xdr:colOff>923925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178</xdr:row>
                    <xdr:rowOff>9525</xdr:rowOff>
                  </from>
                  <to>
                    <xdr:col>4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236</xdr:row>
                    <xdr:rowOff>9525</xdr:rowOff>
                  </from>
                  <to>
                    <xdr:col>2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236</xdr:row>
                    <xdr:rowOff>9525</xdr:rowOff>
                  </from>
                  <to>
                    <xdr:col>2</xdr:col>
                    <xdr:colOff>914400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236</xdr:row>
                    <xdr:rowOff>9525</xdr:rowOff>
                  </from>
                  <to>
                    <xdr:col>4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249</xdr:row>
                    <xdr:rowOff>9525</xdr:rowOff>
                  </from>
                  <to>
                    <xdr:col>2</xdr:col>
                    <xdr:colOff>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2</xdr:col>
                    <xdr:colOff>19050</xdr:colOff>
                    <xdr:row>249</xdr:row>
                    <xdr:rowOff>9525</xdr:rowOff>
                  </from>
                  <to>
                    <xdr:col>2</xdr:col>
                    <xdr:colOff>914400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250</xdr:row>
                    <xdr:rowOff>9525</xdr:rowOff>
                  </from>
                  <to>
                    <xdr:col>2</xdr:col>
                    <xdr:colOff>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250</xdr:row>
                    <xdr:rowOff>9525</xdr:rowOff>
                  </from>
                  <to>
                    <xdr:col>2</xdr:col>
                    <xdr:colOff>914400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2</xdr:col>
                    <xdr:colOff>19050</xdr:colOff>
                    <xdr:row>262</xdr:row>
                    <xdr:rowOff>9525</xdr:rowOff>
                  </from>
                  <to>
                    <xdr:col>2</xdr:col>
                    <xdr:colOff>914400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262</xdr:row>
                    <xdr:rowOff>9525</xdr:rowOff>
                  </from>
                  <to>
                    <xdr:col>2</xdr:col>
                    <xdr:colOff>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>
                <anchor moveWithCells="1">
                  <from>
                    <xdr:col>2</xdr:col>
                    <xdr:colOff>19050</xdr:colOff>
                    <xdr:row>344</xdr:row>
                    <xdr:rowOff>9525</xdr:rowOff>
                  </from>
                  <to>
                    <xdr:col>2</xdr:col>
                    <xdr:colOff>914400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344</xdr:row>
                    <xdr:rowOff>9525</xdr:rowOff>
                  </from>
                  <to>
                    <xdr:col>2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Check Box 70">
              <controlPr defaultSize="0" autoFill="0" autoLine="0" autoPict="0">
                <anchor moveWithCells="1">
                  <from>
                    <xdr:col>3</xdr:col>
                    <xdr:colOff>19050</xdr:colOff>
                    <xdr:row>344</xdr:row>
                    <xdr:rowOff>9525</xdr:rowOff>
                  </from>
                  <to>
                    <xdr:col>4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3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345</xdr:row>
                    <xdr:rowOff>9525</xdr:rowOff>
                  </from>
                  <to>
                    <xdr:col>2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defaultSize="0" autoFill="0" autoLine="0" autoPict="0">
                <anchor moveWithCells="1">
                  <from>
                    <xdr:col>2</xdr:col>
                    <xdr:colOff>19050</xdr:colOff>
                    <xdr:row>345</xdr:row>
                    <xdr:rowOff>9525</xdr:rowOff>
                  </from>
                  <to>
                    <xdr:col>2</xdr:col>
                    <xdr:colOff>914400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345</xdr:row>
                    <xdr:rowOff>9525</xdr:rowOff>
                  </from>
                  <to>
                    <xdr:col>4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346</xdr:row>
                    <xdr:rowOff>9525</xdr:rowOff>
                  </from>
                  <to>
                    <xdr:col>2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7" name="Check Box 76">
              <controlPr defaultSize="0" autoFill="0" autoLine="0" autoPict="0">
                <anchor moveWithCells="1">
                  <from>
                    <xdr:col>2</xdr:col>
                    <xdr:colOff>19050</xdr:colOff>
                    <xdr:row>346</xdr:row>
                    <xdr:rowOff>9525</xdr:rowOff>
                  </from>
                  <to>
                    <xdr:col>2</xdr:col>
                    <xdr:colOff>914400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8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346</xdr:row>
                    <xdr:rowOff>9525</xdr:rowOff>
                  </from>
                  <to>
                    <xdr:col>4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347</xdr:row>
                    <xdr:rowOff>9525</xdr:rowOff>
                  </from>
                  <to>
                    <xdr:col>2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2</xdr:col>
                    <xdr:colOff>19050</xdr:colOff>
                    <xdr:row>347</xdr:row>
                    <xdr:rowOff>9525</xdr:rowOff>
                  </from>
                  <to>
                    <xdr:col>2</xdr:col>
                    <xdr:colOff>914400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347</xdr:row>
                    <xdr:rowOff>9525</xdr:rowOff>
                  </from>
                  <to>
                    <xdr:col>4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348</xdr:row>
                    <xdr:rowOff>9525</xdr:rowOff>
                  </from>
                  <to>
                    <xdr:col>2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348</xdr:row>
                    <xdr:rowOff>9525</xdr:rowOff>
                  </from>
                  <to>
                    <xdr:col>2</xdr:col>
                    <xdr:colOff>914400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3</xdr:col>
                    <xdr:colOff>19050</xdr:colOff>
                    <xdr:row>348</xdr:row>
                    <xdr:rowOff>9525</xdr:rowOff>
                  </from>
                  <to>
                    <xdr:col>4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5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349</xdr:row>
                    <xdr:rowOff>9525</xdr:rowOff>
                  </from>
                  <to>
                    <xdr:col>2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6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349</xdr:row>
                    <xdr:rowOff>9525</xdr:rowOff>
                  </from>
                  <to>
                    <xdr:col>2</xdr:col>
                    <xdr:colOff>914400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7" name="Check Box 92">
              <controlPr defaultSize="0" autoFill="0" autoLine="0" autoPict="0">
                <anchor moveWithCells="1">
                  <from>
                    <xdr:col>3</xdr:col>
                    <xdr:colOff>19050</xdr:colOff>
                    <xdr:row>349</xdr:row>
                    <xdr:rowOff>9525</xdr:rowOff>
                  </from>
                  <to>
                    <xdr:col>4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8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350</xdr:row>
                    <xdr:rowOff>9525</xdr:rowOff>
                  </from>
                  <to>
                    <xdr:col>2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350</xdr:row>
                    <xdr:rowOff>9525</xdr:rowOff>
                  </from>
                  <to>
                    <xdr:col>2</xdr:col>
                    <xdr:colOff>914400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3</xdr:col>
                    <xdr:colOff>19050</xdr:colOff>
                    <xdr:row>350</xdr:row>
                    <xdr:rowOff>9525</xdr:rowOff>
                  </from>
                  <to>
                    <xdr:col>4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9525</xdr:rowOff>
                  </from>
                  <to>
                    <xdr:col>2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923925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3" name="Check Box 101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4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4" name="Check Box 226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38100</xdr:rowOff>
                  </from>
                  <to>
                    <xdr:col>5</xdr:col>
                    <xdr:colOff>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5" name="Check Box 227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276225</xdr:rowOff>
                  </from>
                  <to>
                    <xdr:col>5</xdr:col>
                    <xdr:colOff>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6" name="Check Box 228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552450</xdr:rowOff>
                  </from>
                  <to>
                    <xdr:col>5</xdr:col>
                    <xdr:colOff>0</xdr:colOff>
                    <xdr:row>2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7" name="Check Box 235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3</xdr:row>
                    <xdr:rowOff>38100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8" name="Check Box 236">
              <controlPr defaultSize="0" autoFill="0" autoLine="0" autoPict="0" altText="Beslutad av _x000a_Länsstyrelsen">
                <anchor moveWithCells="1">
                  <from>
                    <xdr:col>2</xdr:col>
                    <xdr:colOff>9525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9" name="Check Box 250">
              <controlPr defaultSize="0" autoFill="0" autoLine="0" autoPict="0" altText="Beslutad av _x000a_Länsstyrelsen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5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0" name="Check Box 251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295275</xdr:rowOff>
                  </from>
                  <to>
                    <xdr:col>5</xdr:col>
                    <xdr:colOff>19050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1" name="Check Box 26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330</xdr:row>
                    <xdr:rowOff>66675</xdr:rowOff>
                  </from>
                  <to>
                    <xdr:col>7</xdr:col>
                    <xdr:colOff>609600</xdr:colOff>
                    <xdr:row>331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2" name="Nedrullningsbar listruta 277">
              <controlPr defaultSize="0" autoLine="0" autoPict="0">
                <anchor moveWithCells="1">
                  <from>
                    <xdr:col>4</xdr:col>
                    <xdr:colOff>9525</xdr:colOff>
                    <xdr:row>310</xdr:row>
                    <xdr:rowOff>0</xdr:rowOff>
                  </from>
                  <to>
                    <xdr:col>4</xdr:col>
                    <xdr:colOff>904875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3" name="Nedrullningsbar listruta 278">
              <controlPr defaultSize="0" autoLine="0" autoPict="0">
                <anchor moveWithCells="1">
                  <from>
                    <xdr:col>4</xdr:col>
                    <xdr:colOff>9525</xdr:colOff>
                    <xdr:row>311</xdr:row>
                    <xdr:rowOff>0</xdr:rowOff>
                  </from>
                  <to>
                    <xdr:col>4</xdr:col>
                    <xdr:colOff>904875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4" name="Nedrullningsbar listruta 279">
              <controlPr defaultSize="0" autoLine="0" autoPict="0">
                <anchor moveWithCells="1">
                  <from>
                    <xdr:col>4</xdr:col>
                    <xdr:colOff>9525</xdr:colOff>
                    <xdr:row>312</xdr:row>
                    <xdr:rowOff>0</xdr:rowOff>
                  </from>
                  <to>
                    <xdr:col>4</xdr:col>
                    <xdr:colOff>904875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5" name="Nedrullningsbar listruta 280">
              <controlPr defaultSize="0" autoLine="0" autoPict="0">
                <anchor moveWithCells="1">
                  <from>
                    <xdr:col>4</xdr:col>
                    <xdr:colOff>9525</xdr:colOff>
                    <xdr:row>313</xdr:row>
                    <xdr:rowOff>0</xdr:rowOff>
                  </from>
                  <to>
                    <xdr:col>4</xdr:col>
                    <xdr:colOff>904875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6" name="Nedrullningsbar listruta 281">
              <controlPr defaultSize="0" autoLine="0" autoPict="0">
                <anchor moveWithCells="1">
                  <from>
                    <xdr:col>4</xdr:col>
                    <xdr:colOff>9525</xdr:colOff>
                    <xdr:row>314</xdr:row>
                    <xdr:rowOff>0</xdr:rowOff>
                  </from>
                  <to>
                    <xdr:col>4</xdr:col>
                    <xdr:colOff>904875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7" name="Nedrullningsbar listruta 282">
              <controlPr defaultSize="0" autoLine="0" autoPict="0">
                <anchor moveWithCells="1">
                  <from>
                    <xdr:col>4</xdr:col>
                    <xdr:colOff>9525</xdr:colOff>
                    <xdr:row>315</xdr:row>
                    <xdr:rowOff>0</xdr:rowOff>
                  </from>
                  <to>
                    <xdr:col>4</xdr:col>
                    <xdr:colOff>904875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8" name="Nedrullningsbar listruta 283">
              <controlPr defaultSize="0" autoLine="0" autoPict="0">
                <anchor moveWithCells="1">
                  <from>
                    <xdr:col>4</xdr:col>
                    <xdr:colOff>9525</xdr:colOff>
                    <xdr:row>316</xdr:row>
                    <xdr:rowOff>0</xdr:rowOff>
                  </from>
                  <to>
                    <xdr:col>4</xdr:col>
                    <xdr:colOff>904875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9" name="Nedrullningsbar listruta 284">
              <controlPr defaultSize="0" autoLine="0" autoPict="0">
                <anchor moveWithCells="1">
                  <from>
                    <xdr:col>4</xdr:col>
                    <xdr:colOff>9525</xdr:colOff>
                    <xdr:row>317</xdr:row>
                    <xdr:rowOff>0</xdr:rowOff>
                  </from>
                  <to>
                    <xdr:col>4</xdr:col>
                    <xdr:colOff>904875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70" name="Nedrullningsbar listruta 285">
              <controlPr defaultSize="0" autoLine="0" autoPict="0">
                <anchor moveWithCells="1">
                  <from>
                    <xdr:col>4</xdr:col>
                    <xdr:colOff>9525</xdr:colOff>
                    <xdr:row>318</xdr:row>
                    <xdr:rowOff>0</xdr:rowOff>
                  </from>
                  <to>
                    <xdr:col>4</xdr:col>
                    <xdr:colOff>904875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1" name="Nedrullningsbar listruta 286">
              <controlPr defaultSize="0" autoLine="0" autoPict="0">
                <anchor moveWithCells="1">
                  <from>
                    <xdr:col>4</xdr:col>
                    <xdr:colOff>9525</xdr:colOff>
                    <xdr:row>319</xdr:row>
                    <xdr:rowOff>0</xdr:rowOff>
                  </from>
                  <to>
                    <xdr:col>4</xdr:col>
                    <xdr:colOff>904875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2" name="Nedrullningsbar listruta 287">
              <controlPr defaultSize="0" autoLine="0" autoPict="0">
                <anchor moveWithCells="1">
                  <from>
                    <xdr:col>4</xdr:col>
                    <xdr:colOff>9525</xdr:colOff>
                    <xdr:row>320</xdr:row>
                    <xdr:rowOff>0</xdr:rowOff>
                  </from>
                  <to>
                    <xdr:col>4</xdr:col>
                    <xdr:colOff>904875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3" name="Nedrullningsbar listruta 288">
              <controlPr defaultSize="0" autoLine="0" autoPict="0">
                <anchor moveWithCells="1">
                  <from>
                    <xdr:col>4</xdr:col>
                    <xdr:colOff>9525</xdr:colOff>
                    <xdr:row>321</xdr:row>
                    <xdr:rowOff>0</xdr:rowOff>
                  </from>
                  <to>
                    <xdr:col>4</xdr:col>
                    <xdr:colOff>904875</xdr:colOff>
                    <xdr:row>322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2" yWindow="578" count="2">
        <x14:dataValidation type="list" showInputMessage="1" showErrorMessage="1" promptTitle="Välj mått på betestryck" prompt="Välj det alternativ som bäst överensstämmer" xr:uid="{00000000-0002-0000-0300-000000000000}">
          <x14:formula1>
            <xm:f>Faktorer!$F$3:$F$7</xm:f>
          </x14:formula1>
          <xm:sqref>D252:F252</xm:sqref>
        </x14:dataValidation>
        <x14:dataValidation type="list" showInputMessage="1" showErrorMessage="1" promptTitle="Välj styrparameter" prompt="Välj det alternativ som gäller Ert ÄFO" xr:uid="{00000000-0002-0000-0300-000001000000}">
          <x14:formula1>
            <xm:f>Faktorer!$B$11:$B$17</xm:f>
          </x14:formula1>
          <xm:sqref>C11:E11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2"/>
  <dimension ref="B1:J168"/>
  <sheetViews>
    <sheetView topLeftCell="D1" workbookViewId="0">
      <selection activeCell="G13" sqref="G13 G13"/>
    </sheetView>
  </sheetViews>
  <sheetFormatPr defaultRowHeight="15" x14ac:dyDescent="0.25"/>
  <cols>
    <col min="1" max="1" width="9.140625" customWidth="1"/>
    <col min="2" max="2" width="20" customWidth="1"/>
    <col min="3" max="3" width="25.28515625" customWidth="1"/>
    <col min="4" max="5" width="42.28515625" customWidth="1"/>
    <col min="6" max="7" width="15.42578125" customWidth="1"/>
    <col min="8" max="8" width="57.85546875" bestFit="1" customWidth="1"/>
    <col min="9" max="9" width="15.42578125" customWidth="1"/>
  </cols>
  <sheetData>
    <row r="1" spans="2:6" x14ac:dyDescent="0.25">
      <c r="B1" t="s">
        <v>397</v>
      </c>
    </row>
    <row r="2" spans="2:6" x14ac:dyDescent="0.25">
      <c r="F2" t="s">
        <v>398</v>
      </c>
    </row>
    <row r="3" spans="2:6" x14ac:dyDescent="0.25">
      <c r="B3" t="s">
        <v>285</v>
      </c>
      <c r="F3" t="s">
        <v>285</v>
      </c>
    </row>
    <row r="4" spans="2:6" x14ac:dyDescent="0.25">
      <c r="B4" t="s">
        <v>261</v>
      </c>
    </row>
    <row r="5" spans="2:6" x14ac:dyDescent="0.25">
      <c r="B5" t="s">
        <v>55</v>
      </c>
      <c r="F5" t="s">
        <v>399</v>
      </c>
    </row>
    <row r="6" spans="2:6" x14ac:dyDescent="0.25">
      <c r="B6" t="s">
        <v>260</v>
      </c>
      <c r="F6" t="s">
        <v>126</v>
      </c>
    </row>
    <row r="7" spans="2:6" x14ac:dyDescent="0.25">
      <c r="B7" t="s">
        <v>307</v>
      </c>
      <c r="F7" t="s">
        <v>400</v>
      </c>
    </row>
    <row r="10" spans="2:6" x14ac:dyDescent="0.25">
      <c r="B10" s="212" t="s">
        <v>401</v>
      </c>
    </row>
    <row r="11" spans="2:6" x14ac:dyDescent="0.25">
      <c r="B11" t="s">
        <v>285</v>
      </c>
    </row>
    <row r="13" spans="2:6" x14ac:dyDescent="0.25">
      <c r="B13" t="s">
        <v>402</v>
      </c>
    </row>
    <row r="14" spans="2:6" x14ac:dyDescent="0.25">
      <c r="B14" t="s">
        <v>403</v>
      </c>
    </row>
    <row r="15" spans="2:6" x14ac:dyDescent="0.25">
      <c r="B15" t="s">
        <v>404</v>
      </c>
    </row>
    <row r="16" spans="2:6" x14ac:dyDescent="0.25">
      <c r="B16" t="s">
        <v>405</v>
      </c>
    </row>
    <row r="17" spans="2:10" x14ac:dyDescent="0.25">
      <c r="B17" t="s">
        <v>406</v>
      </c>
    </row>
    <row r="19" spans="2:10" x14ac:dyDescent="0.25">
      <c r="B19" s="212" t="s">
        <v>407</v>
      </c>
      <c r="C19" t="s">
        <v>11</v>
      </c>
      <c r="D19" t="s">
        <v>408</v>
      </c>
      <c r="F19" t="s">
        <v>409</v>
      </c>
      <c r="G19" t="s">
        <v>410</v>
      </c>
      <c r="H19" t="s">
        <v>411</v>
      </c>
      <c r="I19" t="s">
        <v>412</v>
      </c>
      <c r="J19" t="s">
        <v>413</v>
      </c>
    </row>
    <row r="20" spans="2:10" x14ac:dyDescent="0.25">
      <c r="B20" t="s">
        <v>414</v>
      </c>
      <c r="C20" t="s">
        <v>415</v>
      </c>
      <c r="D20" s="97">
        <v>1</v>
      </c>
      <c r="F20">
        <v>1</v>
      </c>
      <c r="G20">
        <v>1</v>
      </c>
      <c r="H20">
        <v>1</v>
      </c>
      <c r="I20" t="s">
        <v>416</v>
      </c>
      <c r="J20" t="s">
        <v>417</v>
      </c>
    </row>
    <row r="21" spans="2:10" x14ac:dyDescent="0.25">
      <c r="B21" t="s">
        <v>418</v>
      </c>
      <c r="C21" t="s">
        <v>419</v>
      </c>
      <c r="D21" s="97">
        <v>3</v>
      </c>
      <c r="F21">
        <v>1</v>
      </c>
      <c r="G21">
        <v>2</v>
      </c>
      <c r="H21">
        <v>2</v>
      </c>
      <c r="I21" t="s">
        <v>420</v>
      </c>
      <c r="J21" t="s">
        <v>421</v>
      </c>
    </row>
    <row r="22" spans="2:10" x14ac:dyDescent="0.25">
      <c r="B22" t="s">
        <v>422</v>
      </c>
      <c r="C22" t="s">
        <v>423</v>
      </c>
      <c r="D22" s="97">
        <v>4</v>
      </c>
      <c r="F22">
        <v>1</v>
      </c>
      <c r="G22">
        <v>3</v>
      </c>
      <c r="H22">
        <v>3</v>
      </c>
      <c r="I22" t="s">
        <v>424</v>
      </c>
      <c r="J22" t="s">
        <v>425</v>
      </c>
    </row>
    <row r="23" spans="2:10" x14ac:dyDescent="0.25">
      <c r="B23" t="s">
        <v>426</v>
      </c>
      <c r="C23" t="s">
        <v>427</v>
      </c>
      <c r="D23" s="97">
        <v>5</v>
      </c>
      <c r="F23">
        <v>1</v>
      </c>
      <c r="G23">
        <v>4</v>
      </c>
      <c r="H23">
        <v>4</v>
      </c>
      <c r="I23" t="s">
        <v>428</v>
      </c>
      <c r="J23" t="s">
        <v>429</v>
      </c>
    </row>
    <row r="24" spans="2:10" x14ac:dyDescent="0.25">
      <c r="B24" t="s">
        <v>430</v>
      </c>
      <c r="C24" t="s">
        <v>431</v>
      </c>
      <c r="D24" s="97">
        <v>6</v>
      </c>
      <c r="F24">
        <v>1</v>
      </c>
      <c r="G24">
        <v>5</v>
      </c>
      <c r="H24">
        <v>5</v>
      </c>
      <c r="I24" t="s">
        <v>432</v>
      </c>
      <c r="J24" t="s">
        <v>433</v>
      </c>
    </row>
    <row r="25" spans="2:10" x14ac:dyDescent="0.25">
      <c r="B25" t="s">
        <v>434</v>
      </c>
      <c r="C25" t="s">
        <v>435</v>
      </c>
      <c r="D25" s="97">
        <v>7</v>
      </c>
      <c r="F25">
        <v>1</v>
      </c>
      <c r="G25">
        <v>6</v>
      </c>
      <c r="H25">
        <v>6</v>
      </c>
      <c r="I25" t="s">
        <v>436</v>
      </c>
      <c r="J25" t="s">
        <v>437</v>
      </c>
    </row>
    <row r="26" spans="2:10" x14ac:dyDescent="0.25">
      <c r="B26" t="s">
        <v>438</v>
      </c>
      <c r="C26" t="s">
        <v>439</v>
      </c>
      <c r="D26" s="97">
        <v>8</v>
      </c>
      <c r="F26">
        <v>1</v>
      </c>
      <c r="G26">
        <v>7</v>
      </c>
      <c r="H26">
        <v>7</v>
      </c>
      <c r="I26" t="s">
        <v>440</v>
      </c>
      <c r="J26" t="s">
        <v>441</v>
      </c>
    </row>
    <row r="27" spans="2:10" x14ac:dyDescent="0.25">
      <c r="B27" t="s">
        <v>442</v>
      </c>
      <c r="C27" t="s">
        <v>443</v>
      </c>
      <c r="D27" s="97">
        <v>10</v>
      </c>
      <c r="F27">
        <v>1</v>
      </c>
      <c r="G27">
        <v>8</v>
      </c>
      <c r="H27">
        <v>8</v>
      </c>
      <c r="I27" t="s">
        <v>444</v>
      </c>
      <c r="J27" t="s">
        <v>445</v>
      </c>
    </row>
    <row r="28" spans="2:10" x14ac:dyDescent="0.25">
      <c r="B28" t="s">
        <v>446</v>
      </c>
      <c r="C28" t="s">
        <v>447</v>
      </c>
      <c r="D28" s="97">
        <v>12</v>
      </c>
      <c r="F28">
        <v>3</v>
      </c>
      <c r="G28">
        <v>9</v>
      </c>
      <c r="H28">
        <v>1</v>
      </c>
      <c r="I28" t="s">
        <v>448</v>
      </c>
      <c r="J28" t="s">
        <v>449</v>
      </c>
    </row>
    <row r="29" spans="2:10" x14ac:dyDescent="0.25">
      <c r="B29" t="s">
        <v>450</v>
      </c>
      <c r="C29" t="s">
        <v>451</v>
      </c>
      <c r="D29" s="97">
        <v>13</v>
      </c>
      <c r="F29">
        <v>3</v>
      </c>
      <c r="G29">
        <v>10</v>
      </c>
      <c r="H29">
        <v>2</v>
      </c>
      <c r="I29" t="s">
        <v>452</v>
      </c>
      <c r="J29" t="s">
        <v>453</v>
      </c>
    </row>
    <row r="30" spans="2:10" x14ac:dyDescent="0.25">
      <c r="B30" t="s">
        <v>454</v>
      </c>
      <c r="C30" t="s">
        <v>455</v>
      </c>
      <c r="D30" s="97">
        <v>14</v>
      </c>
      <c r="F30">
        <v>3</v>
      </c>
      <c r="G30">
        <v>11</v>
      </c>
      <c r="H30">
        <v>3</v>
      </c>
      <c r="I30" t="s">
        <v>456</v>
      </c>
      <c r="J30" t="s">
        <v>457</v>
      </c>
    </row>
    <row r="31" spans="2:10" x14ac:dyDescent="0.25">
      <c r="B31" t="s">
        <v>458</v>
      </c>
      <c r="C31" t="s">
        <v>459</v>
      </c>
      <c r="D31" s="97">
        <v>17</v>
      </c>
      <c r="F31">
        <v>3</v>
      </c>
      <c r="G31">
        <v>12</v>
      </c>
      <c r="H31">
        <v>4</v>
      </c>
      <c r="I31" t="s">
        <v>460</v>
      </c>
      <c r="J31" t="s">
        <v>461</v>
      </c>
    </row>
    <row r="32" spans="2:10" x14ac:dyDescent="0.25">
      <c r="B32" t="s">
        <v>462</v>
      </c>
      <c r="C32" t="s">
        <v>463</v>
      </c>
      <c r="D32" s="97">
        <v>18</v>
      </c>
      <c r="F32">
        <v>3</v>
      </c>
      <c r="G32">
        <v>13</v>
      </c>
      <c r="H32">
        <v>5</v>
      </c>
      <c r="I32" t="s">
        <v>464</v>
      </c>
      <c r="J32" t="s">
        <v>465</v>
      </c>
    </row>
    <row r="33" spans="2:10" x14ac:dyDescent="0.25">
      <c r="B33" t="s">
        <v>466</v>
      </c>
      <c r="C33" t="s">
        <v>467</v>
      </c>
      <c r="D33" s="97">
        <v>19</v>
      </c>
      <c r="F33">
        <v>3</v>
      </c>
      <c r="G33">
        <v>14</v>
      </c>
      <c r="H33">
        <v>6</v>
      </c>
      <c r="I33" t="s">
        <v>468</v>
      </c>
      <c r="J33" t="s">
        <v>469</v>
      </c>
    </row>
    <row r="34" spans="2:10" x14ac:dyDescent="0.25">
      <c r="B34" t="s">
        <v>470</v>
      </c>
      <c r="C34" t="s">
        <v>471</v>
      </c>
      <c r="D34" s="97">
        <v>20</v>
      </c>
      <c r="F34">
        <v>4</v>
      </c>
      <c r="G34">
        <v>15</v>
      </c>
      <c r="H34">
        <v>1</v>
      </c>
      <c r="I34" t="s">
        <v>472</v>
      </c>
      <c r="J34" t="s">
        <v>473</v>
      </c>
    </row>
    <row r="35" spans="2:10" x14ac:dyDescent="0.25">
      <c r="B35" t="s">
        <v>474</v>
      </c>
      <c r="C35" t="s">
        <v>475</v>
      </c>
      <c r="D35" s="97">
        <v>21</v>
      </c>
      <c r="F35">
        <v>4</v>
      </c>
      <c r="G35">
        <v>16</v>
      </c>
      <c r="H35">
        <v>2</v>
      </c>
      <c r="I35" t="s">
        <v>476</v>
      </c>
      <c r="J35" t="s">
        <v>477</v>
      </c>
    </row>
    <row r="36" spans="2:10" x14ac:dyDescent="0.25">
      <c r="B36" t="s">
        <v>478</v>
      </c>
      <c r="C36" t="s">
        <v>479</v>
      </c>
      <c r="D36" s="97">
        <v>22</v>
      </c>
      <c r="F36">
        <v>4</v>
      </c>
      <c r="H36">
        <v>3</v>
      </c>
      <c r="I36" t="s">
        <v>480</v>
      </c>
      <c r="J36" t="s">
        <v>481</v>
      </c>
    </row>
    <row r="37" spans="2:10" x14ac:dyDescent="0.25">
      <c r="B37" t="s">
        <v>482</v>
      </c>
      <c r="C37" t="s">
        <v>483</v>
      </c>
      <c r="D37" s="97">
        <v>23</v>
      </c>
      <c r="F37">
        <v>4</v>
      </c>
      <c r="H37">
        <v>4</v>
      </c>
      <c r="I37" t="s">
        <v>484</v>
      </c>
      <c r="J37" t="s">
        <v>485</v>
      </c>
    </row>
    <row r="38" spans="2:10" x14ac:dyDescent="0.25">
      <c r="B38" t="s">
        <v>486</v>
      </c>
      <c r="C38" t="s">
        <v>487</v>
      </c>
      <c r="D38" s="97">
        <v>24</v>
      </c>
      <c r="F38">
        <v>4</v>
      </c>
      <c r="H38">
        <v>5</v>
      </c>
      <c r="I38" t="s">
        <v>488</v>
      </c>
      <c r="J38" t="s">
        <v>489</v>
      </c>
    </row>
    <row r="39" spans="2:10" x14ac:dyDescent="0.25">
      <c r="B39" t="s">
        <v>490</v>
      </c>
      <c r="C39" t="s">
        <v>491</v>
      </c>
      <c r="D39" s="97">
        <v>25</v>
      </c>
      <c r="F39">
        <v>4</v>
      </c>
      <c r="H39">
        <v>6</v>
      </c>
      <c r="I39" t="s">
        <v>492</v>
      </c>
      <c r="J39" t="s">
        <v>493</v>
      </c>
    </row>
    <row r="40" spans="2:10" x14ac:dyDescent="0.25">
      <c r="F40">
        <v>4</v>
      </c>
      <c r="H40">
        <v>7</v>
      </c>
      <c r="I40" t="s">
        <v>494</v>
      </c>
      <c r="J40" t="s">
        <v>495</v>
      </c>
    </row>
    <row r="41" spans="2:10" x14ac:dyDescent="0.25">
      <c r="B41" t="s">
        <v>496</v>
      </c>
      <c r="F41">
        <v>4</v>
      </c>
      <c r="H41">
        <v>8</v>
      </c>
      <c r="I41" t="s">
        <v>497</v>
      </c>
      <c r="J41" t="s">
        <v>498</v>
      </c>
    </row>
    <row r="42" spans="2:10" x14ac:dyDescent="0.25">
      <c r="B42" t="s">
        <v>54</v>
      </c>
      <c r="F42">
        <v>4</v>
      </c>
      <c r="H42">
        <v>9</v>
      </c>
      <c r="I42" t="s">
        <v>499</v>
      </c>
      <c r="J42" t="s">
        <v>500</v>
      </c>
    </row>
    <row r="43" spans="2:10" x14ac:dyDescent="0.25">
      <c r="B43" t="s">
        <v>55</v>
      </c>
      <c r="F43">
        <v>5</v>
      </c>
      <c r="H43">
        <v>1</v>
      </c>
      <c r="I43" t="s">
        <v>501</v>
      </c>
      <c r="J43" t="s">
        <v>502</v>
      </c>
    </row>
    <row r="44" spans="2:10" x14ac:dyDescent="0.25">
      <c r="B44" t="s">
        <v>56</v>
      </c>
      <c r="F44">
        <v>5</v>
      </c>
      <c r="H44">
        <v>2</v>
      </c>
      <c r="I44" t="s">
        <v>503</v>
      </c>
      <c r="J44" t="s">
        <v>504</v>
      </c>
    </row>
    <row r="45" spans="2:10" x14ac:dyDescent="0.25">
      <c r="F45">
        <v>5</v>
      </c>
      <c r="H45">
        <v>3</v>
      </c>
      <c r="I45" t="s">
        <v>505</v>
      </c>
      <c r="J45" t="s">
        <v>506</v>
      </c>
    </row>
    <row r="46" spans="2:10" x14ac:dyDescent="0.25">
      <c r="F46">
        <v>5</v>
      </c>
      <c r="H46">
        <v>4</v>
      </c>
      <c r="I46" t="s">
        <v>507</v>
      </c>
      <c r="J46" t="s">
        <v>508</v>
      </c>
    </row>
    <row r="47" spans="2:10" x14ac:dyDescent="0.25">
      <c r="F47">
        <v>5</v>
      </c>
      <c r="H47">
        <v>5</v>
      </c>
      <c r="I47" t="s">
        <v>509</v>
      </c>
      <c r="J47" t="s">
        <v>510</v>
      </c>
    </row>
    <row r="48" spans="2:10" x14ac:dyDescent="0.25">
      <c r="F48">
        <v>5</v>
      </c>
      <c r="H48">
        <v>6</v>
      </c>
      <c r="I48" t="s">
        <v>511</v>
      </c>
      <c r="J48" t="s">
        <v>512</v>
      </c>
    </row>
    <row r="49" spans="6:10" x14ac:dyDescent="0.25">
      <c r="F49">
        <v>5</v>
      </c>
      <c r="H49">
        <v>7</v>
      </c>
      <c r="I49" t="s">
        <v>513</v>
      </c>
      <c r="J49" t="s">
        <v>514</v>
      </c>
    </row>
    <row r="50" spans="6:10" x14ac:dyDescent="0.25">
      <c r="F50">
        <v>5</v>
      </c>
      <c r="H50">
        <v>8</v>
      </c>
      <c r="I50" t="s">
        <v>515</v>
      </c>
      <c r="J50" t="s">
        <v>516</v>
      </c>
    </row>
    <row r="51" spans="6:10" x14ac:dyDescent="0.25">
      <c r="F51">
        <v>6</v>
      </c>
      <c r="H51">
        <v>1</v>
      </c>
      <c r="I51" t="s">
        <v>517</v>
      </c>
      <c r="J51" t="s">
        <v>518</v>
      </c>
    </row>
    <row r="52" spans="6:10" x14ac:dyDescent="0.25">
      <c r="F52">
        <v>6</v>
      </c>
      <c r="H52">
        <v>2</v>
      </c>
      <c r="I52" t="s">
        <v>519</v>
      </c>
      <c r="J52" t="s">
        <v>520</v>
      </c>
    </row>
    <row r="53" spans="6:10" x14ac:dyDescent="0.25">
      <c r="F53">
        <v>6</v>
      </c>
      <c r="H53">
        <v>3</v>
      </c>
      <c r="I53" t="s">
        <v>521</v>
      </c>
      <c r="J53" t="s">
        <v>522</v>
      </c>
    </row>
    <row r="54" spans="6:10" x14ac:dyDescent="0.25">
      <c r="F54">
        <v>6</v>
      </c>
      <c r="H54">
        <v>4</v>
      </c>
      <c r="I54" t="s">
        <v>523</v>
      </c>
      <c r="J54" t="s">
        <v>524</v>
      </c>
    </row>
    <row r="55" spans="6:10" x14ac:dyDescent="0.25">
      <c r="F55">
        <v>6</v>
      </c>
      <c r="H55">
        <v>5</v>
      </c>
      <c r="I55" t="s">
        <v>525</v>
      </c>
      <c r="J55" t="s">
        <v>526</v>
      </c>
    </row>
    <row r="56" spans="6:10" x14ac:dyDescent="0.25">
      <c r="F56">
        <v>6</v>
      </c>
      <c r="H56">
        <v>6</v>
      </c>
      <c r="I56" t="s">
        <v>527</v>
      </c>
      <c r="J56" t="s">
        <v>528</v>
      </c>
    </row>
    <row r="57" spans="6:10" x14ac:dyDescent="0.25">
      <c r="F57">
        <v>6</v>
      </c>
      <c r="H57">
        <v>7</v>
      </c>
      <c r="I57" t="s">
        <v>529</v>
      </c>
      <c r="J57" t="s">
        <v>530</v>
      </c>
    </row>
    <row r="58" spans="6:10" x14ac:dyDescent="0.25">
      <c r="F58">
        <v>6</v>
      </c>
      <c r="H58">
        <v>8</v>
      </c>
      <c r="I58" t="s">
        <v>531</v>
      </c>
      <c r="J58" t="s">
        <v>532</v>
      </c>
    </row>
    <row r="59" spans="6:10" x14ac:dyDescent="0.25">
      <c r="F59">
        <v>7</v>
      </c>
      <c r="H59">
        <v>1</v>
      </c>
      <c r="I59">
        <v>1</v>
      </c>
      <c r="J59" t="s">
        <v>533</v>
      </c>
    </row>
    <row r="60" spans="6:10" x14ac:dyDescent="0.25">
      <c r="F60">
        <v>7</v>
      </c>
      <c r="H60">
        <v>2</v>
      </c>
      <c r="I60">
        <v>2</v>
      </c>
      <c r="J60" t="s">
        <v>534</v>
      </c>
    </row>
    <row r="61" spans="6:10" x14ac:dyDescent="0.25">
      <c r="F61">
        <v>7</v>
      </c>
      <c r="H61">
        <v>3</v>
      </c>
      <c r="I61">
        <v>3</v>
      </c>
      <c r="J61" t="s">
        <v>535</v>
      </c>
    </row>
    <row r="62" spans="6:10" x14ac:dyDescent="0.25">
      <c r="F62">
        <v>7</v>
      </c>
      <c r="H62">
        <v>4</v>
      </c>
      <c r="I62">
        <v>4</v>
      </c>
      <c r="J62" t="s">
        <v>536</v>
      </c>
    </row>
    <row r="63" spans="6:10" x14ac:dyDescent="0.25">
      <c r="F63">
        <v>7</v>
      </c>
      <c r="H63">
        <v>5</v>
      </c>
      <c r="I63">
        <v>5</v>
      </c>
      <c r="J63" t="s">
        <v>537</v>
      </c>
    </row>
    <row r="64" spans="6:10" x14ac:dyDescent="0.25">
      <c r="F64">
        <v>7</v>
      </c>
      <c r="H64">
        <v>6</v>
      </c>
      <c r="I64">
        <v>6</v>
      </c>
      <c r="J64" t="s">
        <v>538</v>
      </c>
    </row>
    <row r="65" spans="6:10" x14ac:dyDescent="0.25">
      <c r="F65">
        <v>7</v>
      </c>
      <c r="H65">
        <v>7</v>
      </c>
      <c r="I65">
        <v>7</v>
      </c>
      <c r="J65" t="s">
        <v>539</v>
      </c>
    </row>
    <row r="66" spans="6:10" x14ac:dyDescent="0.25">
      <c r="F66">
        <v>8</v>
      </c>
      <c r="H66">
        <v>1</v>
      </c>
      <c r="I66" t="s">
        <v>540</v>
      </c>
      <c r="J66" t="s">
        <v>541</v>
      </c>
    </row>
    <row r="67" spans="6:10" x14ac:dyDescent="0.25">
      <c r="F67">
        <v>8</v>
      </c>
      <c r="H67">
        <v>2</v>
      </c>
      <c r="I67" t="s">
        <v>542</v>
      </c>
      <c r="J67" t="s">
        <v>543</v>
      </c>
    </row>
    <row r="68" spans="6:10" x14ac:dyDescent="0.25">
      <c r="F68">
        <v>8</v>
      </c>
      <c r="H68">
        <v>3</v>
      </c>
      <c r="I68" t="s">
        <v>544</v>
      </c>
      <c r="J68" t="s">
        <v>545</v>
      </c>
    </row>
    <row r="69" spans="6:10" x14ac:dyDescent="0.25">
      <c r="F69">
        <v>8</v>
      </c>
      <c r="H69">
        <v>4</v>
      </c>
      <c r="I69" t="s">
        <v>546</v>
      </c>
      <c r="J69" t="s">
        <v>547</v>
      </c>
    </row>
    <row r="70" spans="6:10" x14ac:dyDescent="0.25">
      <c r="F70">
        <v>8</v>
      </c>
      <c r="H70">
        <v>5</v>
      </c>
      <c r="I70" t="s">
        <v>548</v>
      </c>
      <c r="J70" t="s">
        <v>549</v>
      </c>
    </row>
    <row r="71" spans="6:10" x14ac:dyDescent="0.25">
      <c r="F71">
        <v>8</v>
      </c>
      <c r="H71">
        <v>6</v>
      </c>
      <c r="I71" t="s">
        <v>550</v>
      </c>
      <c r="J71" t="s">
        <v>551</v>
      </c>
    </row>
    <row r="72" spans="6:10" x14ac:dyDescent="0.25">
      <c r="F72">
        <v>8</v>
      </c>
      <c r="H72">
        <v>7</v>
      </c>
      <c r="I72" t="s">
        <v>552</v>
      </c>
      <c r="J72" t="s">
        <v>553</v>
      </c>
    </row>
    <row r="73" spans="6:10" x14ac:dyDescent="0.25">
      <c r="F73">
        <v>8</v>
      </c>
      <c r="H73">
        <v>8</v>
      </c>
      <c r="I73" t="s">
        <v>554</v>
      </c>
      <c r="J73" t="s">
        <v>555</v>
      </c>
    </row>
    <row r="74" spans="6:10" x14ac:dyDescent="0.25">
      <c r="F74">
        <v>8</v>
      </c>
      <c r="H74">
        <v>9</v>
      </c>
      <c r="I74" t="s">
        <v>556</v>
      </c>
      <c r="J74" t="s">
        <v>557</v>
      </c>
    </row>
    <row r="75" spans="6:10" x14ac:dyDescent="0.25">
      <c r="F75">
        <v>8</v>
      </c>
      <c r="H75">
        <v>10</v>
      </c>
      <c r="I75" t="s">
        <v>558</v>
      </c>
      <c r="J75" t="s">
        <v>559</v>
      </c>
    </row>
    <row r="76" spans="6:10" x14ac:dyDescent="0.25">
      <c r="F76">
        <v>10</v>
      </c>
      <c r="H76">
        <v>1</v>
      </c>
      <c r="I76" t="s">
        <v>560</v>
      </c>
      <c r="J76" t="s">
        <v>561</v>
      </c>
    </row>
    <row r="77" spans="6:10" x14ac:dyDescent="0.25">
      <c r="F77">
        <v>10</v>
      </c>
      <c r="H77">
        <v>2</v>
      </c>
      <c r="I77" t="s">
        <v>562</v>
      </c>
      <c r="J77" t="s">
        <v>563</v>
      </c>
    </row>
    <row r="78" spans="6:10" x14ac:dyDescent="0.25">
      <c r="F78">
        <v>10</v>
      </c>
      <c r="H78">
        <v>3</v>
      </c>
      <c r="I78" t="s">
        <v>564</v>
      </c>
      <c r="J78" t="s">
        <v>565</v>
      </c>
    </row>
    <row r="79" spans="6:10" x14ac:dyDescent="0.25">
      <c r="F79">
        <v>12</v>
      </c>
      <c r="H79">
        <v>1</v>
      </c>
      <c r="I79" t="s">
        <v>566</v>
      </c>
      <c r="J79" t="s">
        <v>567</v>
      </c>
    </row>
    <row r="80" spans="6:10" x14ac:dyDescent="0.25">
      <c r="F80">
        <v>12</v>
      </c>
      <c r="H80">
        <v>2</v>
      </c>
      <c r="I80" t="s">
        <v>568</v>
      </c>
      <c r="J80" t="s">
        <v>569</v>
      </c>
    </row>
    <row r="81" spans="6:10" x14ac:dyDescent="0.25">
      <c r="F81">
        <v>12</v>
      </c>
      <c r="H81">
        <v>3</v>
      </c>
      <c r="I81" t="s">
        <v>570</v>
      </c>
      <c r="J81" t="s">
        <v>571</v>
      </c>
    </row>
    <row r="82" spans="6:10" x14ac:dyDescent="0.25">
      <c r="F82">
        <v>12</v>
      </c>
      <c r="H82">
        <v>4</v>
      </c>
      <c r="I82" t="s">
        <v>572</v>
      </c>
      <c r="J82" t="s">
        <v>573</v>
      </c>
    </row>
    <row r="83" spans="6:10" x14ac:dyDescent="0.25">
      <c r="F83">
        <v>12</v>
      </c>
      <c r="H83">
        <v>5</v>
      </c>
      <c r="I83" t="s">
        <v>574</v>
      </c>
      <c r="J83" t="s">
        <v>575</v>
      </c>
    </row>
    <row r="84" spans="6:10" x14ac:dyDescent="0.25">
      <c r="F84">
        <v>13</v>
      </c>
      <c r="H84">
        <v>1</v>
      </c>
      <c r="I84" t="s">
        <v>576</v>
      </c>
      <c r="J84" t="s">
        <v>577</v>
      </c>
    </row>
    <row r="85" spans="6:10" x14ac:dyDescent="0.25">
      <c r="F85">
        <v>13</v>
      </c>
      <c r="H85">
        <v>2</v>
      </c>
      <c r="I85" t="s">
        <v>578</v>
      </c>
      <c r="J85" t="s">
        <v>579</v>
      </c>
    </row>
    <row r="86" spans="6:10" x14ac:dyDescent="0.25">
      <c r="F86">
        <v>13</v>
      </c>
      <c r="H86">
        <v>3</v>
      </c>
      <c r="I86" t="s">
        <v>580</v>
      </c>
      <c r="J86" t="s">
        <v>581</v>
      </c>
    </row>
    <row r="87" spans="6:10" x14ac:dyDescent="0.25">
      <c r="F87">
        <v>13</v>
      </c>
      <c r="H87">
        <v>4</v>
      </c>
      <c r="I87" t="s">
        <v>566</v>
      </c>
      <c r="J87" t="s">
        <v>582</v>
      </c>
    </row>
    <row r="88" spans="6:10" x14ac:dyDescent="0.25">
      <c r="F88">
        <v>14</v>
      </c>
      <c r="H88">
        <v>3</v>
      </c>
      <c r="I88" t="s">
        <v>583</v>
      </c>
      <c r="J88" t="s">
        <v>584</v>
      </c>
    </row>
    <row r="89" spans="6:10" x14ac:dyDescent="0.25">
      <c r="F89">
        <v>14</v>
      </c>
      <c r="H89">
        <v>4</v>
      </c>
      <c r="I89" t="s">
        <v>585</v>
      </c>
      <c r="J89" t="s">
        <v>586</v>
      </c>
    </row>
    <row r="90" spans="6:10" x14ac:dyDescent="0.25">
      <c r="F90">
        <v>14</v>
      </c>
      <c r="H90">
        <v>5</v>
      </c>
      <c r="I90" t="s">
        <v>480</v>
      </c>
      <c r="J90" t="s">
        <v>587</v>
      </c>
    </row>
    <row r="91" spans="6:10" x14ac:dyDescent="0.25">
      <c r="F91">
        <v>14</v>
      </c>
      <c r="H91">
        <v>6</v>
      </c>
      <c r="I91" t="s">
        <v>484</v>
      </c>
      <c r="J91" t="s">
        <v>588</v>
      </c>
    </row>
    <row r="92" spans="6:10" x14ac:dyDescent="0.25">
      <c r="F92">
        <v>14</v>
      </c>
      <c r="H92">
        <v>2</v>
      </c>
      <c r="I92" t="s">
        <v>589</v>
      </c>
      <c r="J92" t="s">
        <v>590</v>
      </c>
    </row>
    <row r="93" spans="6:10" x14ac:dyDescent="0.25">
      <c r="F93">
        <v>14</v>
      </c>
      <c r="H93">
        <v>7</v>
      </c>
      <c r="I93" t="s">
        <v>591</v>
      </c>
      <c r="J93" t="s">
        <v>592</v>
      </c>
    </row>
    <row r="94" spans="6:10" x14ac:dyDescent="0.25">
      <c r="F94">
        <v>14</v>
      </c>
      <c r="H94">
        <v>1</v>
      </c>
      <c r="I94" t="s">
        <v>494</v>
      </c>
      <c r="J94" t="s">
        <v>593</v>
      </c>
    </row>
    <row r="95" spans="6:10" x14ac:dyDescent="0.25">
      <c r="F95">
        <v>14</v>
      </c>
      <c r="H95">
        <v>8</v>
      </c>
      <c r="I95" t="s">
        <v>497</v>
      </c>
      <c r="J95" t="s">
        <v>594</v>
      </c>
    </row>
    <row r="96" spans="6:10" x14ac:dyDescent="0.25">
      <c r="F96">
        <v>14</v>
      </c>
      <c r="H96">
        <v>9</v>
      </c>
      <c r="I96" t="s">
        <v>595</v>
      </c>
      <c r="J96" t="s">
        <v>596</v>
      </c>
    </row>
    <row r="97" spans="6:10" x14ac:dyDescent="0.25">
      <c r="F97">
        <v>17</v>
      </c>
      <c r="H97">
        <v>3</v>
      </c>
      <c r="I97" t="s">
        <v>597</v>
      </c>
      <c r="J97" t="s">
        <v>598</v>
      </c>
    </row>
    <row r="98" spans="6:10" x14ac:dyDescent="0.25">
      <c r="F98">
        <v>17</v>
      </c>
      <c r="H98">
        <v>4</v>
      </c>
      <c r="I98" t="s">
        <v>599</v>
      </c>
      <c r="J98" t="s">
        <v>600</v>
      </c>
    </row>
    <row r="99" spans="6:10" x14ac:dyDescent="0.25">
      <c r="F99">
        <v>17</v>
      </c>
      <c r="H99">
        <v>5</v>
      </c>
      <c r="I99" t="s">
        <v>601</v>
      </c>
      <c r="J99" t="s">
        <v>602</v>
      </c>
    </row>
    <row r="100" spans="6:10" x14ac:dyDescent="0.25">
      <c r="F100">
        <v>17</v>
      </c>
      <c r="H100">
        <v>6</v>
      </c>
      <c r="I100" t="s">
        <v>603</v>
      </c>
      <c r="J100" t="s">
        <v>604</v>
      </c>
    </row>
    <row r="101" spans="6:10" x14ac:dyDescent="0.25">
      <c r="F101">
        <v>17</v>
      </c>
      <c r="H101">
        <v>2</v>
      </c>
      <c r="I101" t="s">
        <v>605</v>
      </c>
      <c r="J101" t="s">
        <v>606</v>
      </c>
    </row>
    <row r="102" spans="6:10" x14ac:dyDescent="0.25">
      <c r="F102">
        <v>17</v>
      </c>
      <c r="H102">
        <v>7</v>
      </c>
      <c r="I102" t="s">
        <v>607</v>
      </c>
      <c r="J102" t="s">
        <v>608</v>
      </c>
    </row>
    <row r="103" spans="6:10" x14ac:dyDescent="0.25">
      <c r="F103">
        <v>17</v>
      </c>
      <c r="H103">
        <v>8</v>
      </c>
      <c r="I103" t="s">
        <v>609</v>
      </c>
      <c r="J103" t="s">
        <v>610</v>
      </c>
    </row>
    <row r="104" spans="6:10" x14ac:dyDescent="0.25">
      <c r="F104">
        <v>17</v>
      </c>
      <c r="H104">
        <v>9</v>
      </c>
      <c r="I104" t="s">
        <v>611</v>
      </c>
      <c r="J104" t="s">
        <v>612</v>
      </c>
    </row>
    <row r="105" spans="6:10" x14ac:dyDescent="0.25">
      <c r="F105">
        <v>17</v>
      </c>
      <c r="H105">
        <v>1</v>
      </c>
      <c r="I105" t="s">
        <v>613</v>
      </c>
      <c r="J105" t="s">
        <v>614</v>
      </c>
    </row>
    <row r="106" spans="6:10" x14ac:dyDescent="0.25">
      <c r="F106">
        <v>17</v>
      </c>
      <c r="H106">
        <v>10</v>
      </c>
      <c r="I106" t="s">
        <v>615</v>
      </c>
      <c r="J106" t="s">
        <v>616</v>
      </c>
    </row>
    <row r="107" spans="6:10" x14ac:dyDescent="0.25">
      <c r="F107">
        <v>18</v>
      </c>
      <c r="H107">
        <v>1</v>
      </c>
      <c r="I107" t="s">
        <v>617</v>
      </c>
      <c r="J107" t="s">
        <v>618</v>
      </c>
    </row>
    <row r="108" spans="6:10" x14ac:dyDescent="0.25">
      <c r="F108">
        <v>18</v>
      </c>
      <c r="H108">
        <v>2</v>
      </c>
      <c r="I108" t="s">
        <v>619</v>
      </c>
      <c r="J108" t="s">
        <v>620</v>
      </c>
    </row>
    <row r="109" spans="6:10" x14ac:dyDescent="0.25">
      <c r="F109">
        <v>18</v>
      </c>
      <c r="H109">
        <v>3</v>
      </c>
      <c r="I109" t="s">
        <v>621</v>
      </c>
      <c r="J109" t="s">
        <v>622</v>
      </c>
    </row>
    <row r="110" spans="6:10" x14ac:dyDescent="0.25">
      <c r="F110">
        <v>18</v>
      </c>
      <c r="H110">
        <v>4</v>
      </c>
      <c r="I110" t="s">
        <v>623</v>
      </c>
      <c r="J110" t="s">
        <v>624</v>
      </c>
    </row>
    <row r="111" spans="6:10" x14ac:dyDescent="0.25">
      <c r="F111">
        <v>18</v>
      </c>
      <c r="H111">
        <v>5</v>
      </c>
      <c r="I111" t="s">
        <v>625</v>
      </c>
      <c r="J111" t="s">
        <v>626</v>
      </c>
    </row>
    <row r="112" spans="6:10" x14ac:dyDescent="0.25">
      <c r="F112">
        <v>18</v>
      </c>
      <c r="H112">
        <v>6</v>
      </c>
      <c r="I112" t="s">
        <v>627</v>
      </c>
      <c r="J112" t="s">
        <v>628</v>
      </c>
    </row>
    <row r="113" spans="6:10" x14ac:dyDescent="0.25">
      <c r="F113">
        <v>18</v>
      </c>
      <c r="H113">
        <v>7</v>
      </c>
      <c r="I113" t="s">
        <v>629</v>
      </c>
      <c r="J113" t="s">
        <v>630</v>
      </c>
    </row>
    <row r="114" spans="6:10" x14ac:dyDescent="0.25">
      <c r="F114">
        <v>18</v>
      </c>
      <c r="H114">
        <v>8</v>
      </c>
      <c r="I114" t="s">
        <v>631</v>
      </c>
      <c r="J114" t="s">
        <v>632</v>
      </c>
    </row>
    <row r="115" spans="6:10" x14ac:dyDescent="0.25">
      <c r="F115">
        <v>19</v>
      </c>
      <c r="H115">
        <v>1</v>
      </c>
      <c r="I115" t="s">
        <v>633</v>
      </c>
      <c r="J115" t="s">
        <v>634</v>
      </c>
    </row>
    <row r="116" spans="6:10" x14ac:dyDescent="0.25">
      <c r="F116">
        <v>19</v>
      </c>
      <c r="H116">
        <v>2</v>
      </c>
      <c r="I116" t="s">
        <v>635</v>
      </c>
      <c r="J116" t="s">
        <v>636</v>
      </c>
    </row>
    <row r="117" spans="6:10" x14ac:dyDescent="0.25">
      <c r="F117">
        <v>19</v>
      </c>
      <c r="H117">
        <v>3</v>
      </c>
      <c r="I117" t="s">
        <v>637</v>
      </c>
      <c r="J117" t="s">
        <v>638</v>
      </c>
    </row>
    <row r="118" spans="6:10" x14ac:dyDescent="0.25">
      <c r="F118">
        <v>19</v>
      </c>
      <c r="H118">
        <v>4</v>
      </c>
      <c r="I118" t="s">
        <v>639</v>
      </c>
      <c r="J118" t="s">
        <v>640</v>
      </c>
    </row>
    <row r="119" spans="6:10" x14ac:dyDescent="0.25">
      <c r="F119">
        <v>19</v>
      </c>
      <c r="H119">
        <v>5</v>
      </c>
      <c r="I119" t="s">
        <v>641</v>
      </c>
      <c r="J119" t="s">
        <v>642</v>
      </c>
    </row>
    <row r="120" spans="6:10" x14ac:dyDescent="0.25">
      <c r="F120">
        <v>20</v>
      </c>
      <c r="H120">
        <v>1</v>
      </c>
      <c r="I120" t="s">
        <v>643</v>
      </c>
      <c r="J120" t="s">
        <v>644</v>
      </c>
    </row>
    <row r="121" spans="6:10" x14ac:dyDescent="0.25">
      <c r="F121">
        <v>20</v>
      </c>
      <c r="H121">
        <v>2</v>
      </c>
      <c r="I121" t="s">
        <v>645</v>
      </c>
      <c r="J121" t="s">
        <v>646</v>
      </c>
    </row>
    <row r="122" spans="6:10" x14ac:dyDescent="0.25">
      <c r="F122">
        <v>20</v>
      </c>
      <c r="H122">
        <v>3</v>
      </c>
      <c r="I122" t="s">
        <v>647</v>
      </c>
      <c r="J122" t="s">
        <v>648</v>
      </c>
    </row>
    <row r="123" spans="6:10" x14ac:dyDescent="0.25">
      <c r="F123">
        <v>20</v>
      </c>
      <c r="H123">
        <v>4</v>
      </c>
      <c r="I123" t="s">
        <v>649</v>
      </c>
      <c r="J123" t="s">
        <v>650</v>
      </c>
    </row>
    <row r="124" spans="6:10" x14ac:dyDescent="0.25">
      <c r="F124">
        <v>20</v>
      </c>
      <c r="H124">
        <v>5</v>
      </c>
      <c r="I124" t="s">
        <v>651</v>
      </c>
      <c r="J124" t="s">
        <v>652</v>
      </c>
    </row>
    <row r="125" spans="6:10" x14ac:dyDescent="0.25">
      <c r="F125">
        <v>20</v>
      </c>
      <c r="H125">
        <v>6</v>
      </c>
      <c r="I125" t="s">
        <v>653</v>
      </c>
      <c r="J125" t="s">
        <v>654</v>
      </c>
    </row>
    <row r="126" spans="6:10" x14ac:dyDescent="0.25">
      <c r="F126">
        <v>20</v>
      </c>
      <c r="H126">
        <v>7</v>
      </c>
      <c r="I126" t="s">
        <v>655</v>
      </c>
      <c r="J126" t="s">
        <v>656</v>
      </c>
    </row>
    <row r="127" spans="6:10" x14ac:dyDescent="0.25">
      <c r="F127">
        <v>20</v>
      </c>
      <c r="H127">
        <v>8</v>
      </c>
      <c r="I127" t="s">
        <v>657</v>
      </c>
      <c r="J127" t="s">
        <v>658</v>
      </c>
    </row>
    <row r="128" spans="6:10" x14ac:dyDescent="0.25">
      <c r="F128">
        <v>20</v>
      </c>
      <c r="H128">
        <v>9</v>
      </c>
      <c r="I128" t="s">
        <v>659</v>
      </c>
      <c r="J128" t="s">
        <v>660</v>
      </c>
    </row>
    <row r="129" spans="6:10" x14ac:dyDescent="0.25">
      <c r="F129">
        <v>20</v>
      </c>
      <c r="H129">
        <v>10</v>
      </c>
      <c r="I129" t="s">
        <v>661</v>
      </c>
      <c r="J129" t="s">
        <v>662</v>
      </c>
    </row>
    <row r="130" spans="6:10" x14ac:dyDescent="0.25">
      <c r="F130">
        <v>20</v>
      </c>
      <c r="H130">
        <v>11</v>
      </c>
      <c r="I130" t="s">
        <v>663</v>
      </c>
      <c r="J130" t="s">
        <v>664</v>
      </c>
    </row>
    <row r="131" spans="6:10" x14ac:dyDescent="0.25">
      <c r="F131">
        <v>20</v>
      </c>
      <c r="H131">
        <v>12</v>
      </c>
      <c r="I131" t="s">
        <v>665</v>
      </c>
      <c r="J131" t="s">
        <v>666</v>
      </c>
    </row>
    <row r="132" spans="6:10" x14ac:dyDescent="0.25">
      <c r="F132">
        <v>20</v>
      </c>
      <c r="H132">
        <v>13</v>
      </c>
      <c r="I132" t="s">
        <v>667</v>
      </c>
      <c r="J132" t="s">
        <v>668</v>
      </c>
    </row>
    <row r="133" spans="6:10" x14ac:dyDescent="0.25">
      <c r="F133">
        <v>20</v>
      </c>
      <c r="H133">
        <v>14</v>
      </c>
      <c r="I133" t="s">
        <v>669</v>
      </c>
      <c r="J133" t="s">
        <v>670</v>
      </c>
    </row>
    <row r="134" spans="6:10" x14ac:dyDescent="0.25">
      <c r="F134">
        <v>20</v>
      </c>
      <c r="H134">
        <v>15</v>
      </c>
      <c r="I134" t="s">
        <v>671</v>
      </c>
      <c r="J134" t="s">
        <v>672</v>
      </c>
    </row>
    <row r="135" spans="6:10" x14ac:dyDescent="0.25">
      <c r="F135">
        <v>20</v>
      </c>
      <c r="H135">
        <v>16</v>
      </c>
      <c r="I135" t="s">
        <v>673</v>
      </c>
      <c r="J135" t="s">
        <v>674</v>
      </c>
    </row>
    <row r="136" spans="6:10" x14ac:dyDescent="0.25">
      <c r="F136">
        <v>21</v>
      </c>
      <c r="H136">
        <v>1</v>
      </c>
      <c r="I136" t="s">
        <v>675</v>
      </c>
      <c r="J136" t="s">
        <v>676</v>
      </c>
    </row>
    <row r="137" spans="6:10" x14ac:dyDescent="0.25">
      <c r="F137">
        <v>21</v>
      </c>
      <c r="H137">
        <v>2</v>
      </c>
      <c r="I137" t="s">
        <v>677</v>
      </c>
      <c r="J137" t="s">
        <v>678</v>
      </c>
    </row>
    <row r="138" spans="6:10" x14ac:dyDescent="0.25">
      <c r="F138">
        <v>21</v>
      </c>
      <c r="H138">
        <v>3</v>
      </c>
      <c r="I138" t="s">
        <v>679</v>
      </c>
      <c r="J138" t="s">
        <v>680</v>
      </c>
    </row>
    <row r="139" spans="6:10" x14ac:dyDescent="0.25">
      <c r="F139">
        <v>21</v>
      </c>
      <c r="H139">
        <v>4</v>
      </c>
      <c r="I139" t="s">
        <v>681</v>
      </c>
      <c r="J139" t="s">
        <v>682</v>
      </c>
    </row>
    <row r="140" spans="6:10" x14ac:dyDescent="0.25">
      <c r="F140">
        <v>21</v>
      </c>
      <c r="H140">
        <v>5</v>
      </c>
      <c r="I140" t="s">
        <v>683</v>
      </c>
      <c r="J140" t="s">
        <v>684</v>
      </c>
    </row>
    <row r="141" spans="6:10" x14ac:dyDescent="0.25">
      <c r="F141">
        <v>21</v>
      </c>
      <c r="H141">
        <v>6</v>
      </c>
      <c r="I141" t="s">
        <v>685</v>
      </c>
      <c r="J141" t="s">
        <v>686</v>
      </c>
    </row>
    <row r="142" spans="6:10" x14ac:dyDescent="0.25">
      <c r="F142">
        <v>21</v>
      </c>
      <c r="H142">
        <v>7</v>
      </c>
      <c r="I142" t="s">
        <v>687</v>
      </c>
      <c r="J142" t="s">
        <v>688</v>
      </c>
    </row>
    <row r="143" spans="6:10" x14ac:dyDescent="0.25">
      <c r="F143">
        <v>21</v>
      </c>
      <c r="H143">
        <v>8</v>
      </c>
      <c r="I143" t="s">
        <v>689</v>
      </c>
      <c r="J143" t="s">
        <v>690</v>
      </c>
    </row>
    <row r="144" spans="6:10" x14ac:dyDescent="0.25">
      <c r="F144">
        <v>21</v>
      </c>
      <c r="H144">
        <v>9</v>
      </c>
      <c r="I144" t="s">
        <v>691</v>
      </c>
      <c r="J144" t="s">
        <v>692</v>
      </c>
    </row>
    <row r="145" spans="6:10" x14ac:dyDescent="0.25">
      <c r="F145">
        <v>21</v>
      </c>
      <c r="H145">
        <v>10</v>
      </c>
      <c r="I145" t="s">
        <v>693</v>
      </c>
      <c r="J145" t="s">
        <v>694</v>
      </c>
    </row>
    <row r="146" spans="6:10" x14ac:dyDescent="0.25">
      <c r="F146">
        <v>21</v>
      </c>
      <c r="H146">
        <v>11</v>
      </c>
      <c r="I146" t="s">
        <v>695</v>
      </c>
      <c r="J146" t="s">
        <v>696</v>
      </c>
    </row>
    <row r="147" spans="6:10" x14ac:dyDescent="0.25">
      <c r="F147">
        <v>21</v>
      </c>
      <c r="H147">
        <v>12</v>
      </c>
      <c r="I147" t="s">
        <v>697</v>
      </c>
      <c r="J147" t="s">
        <v>698</v>
      </c>
    </row>
    <row r="148" spans="6:10" x14ac:dyDescent="0.25">
      <c r="F148">
        <v>21</v>
      </c>
      <c r="H148">
        <v>13</v>
      </c>
      <c r="I148" t="s">
        <v>699</v>
      </c>
      <c r="J148" t="s">
        <v>700</v>
      </c>
    </row>
    <row r="149" spans="6:10" x14ac:dyDescent="0.25">
      <c r="F149">
        <v>21</v>
      </c>
      <c r="H149">
        <v>14</v>
      </c>
      <c r="I149" t="s">
        <v>701</v>
      </c>
      <c r="J149" t="s">
        <v>702</v>
      </c>
    </row>
    <row r="150" spans="6:10" x14ac:dyDescent="0.25">
      <c r="F150">
        <v>22</v>
      </c>
      <c r="H150">
        <v>1</v>
      </c>
      <c r="I150" t="s">
        <v>703</v>
      </c>
      <c r="J150" t="s">
        <v>704</v>
      </c>
    </row>
    <row r="151" spans="6:10" x14ac:dyDescent="0.25">
      <c r="F151">
        <v>22</v>
      </c>
      <c r="H151">
        <v>2</v>
      </c>
      <c r="I151" t="s">
        <v>705</v>
      </c>
      <c r="J151" t="s">
        <v>706</v>
      </c>
    </row>
    <row r="152" spans="6:10" x14ac:dyDescent="0.25">
      <c r="F152">
        <v>23</v>
      </c>
      <c r="H152">
        <v>1</v>
      </c>
      <c r="I152" t="s">
        <v>707</v>
      </c>
      <c r="J152" t="s">
        <v>708</v>
      </c>
    </row>
    <row r="153" spans="6:10" x14ac:dyDescent="0.25">
      <c r="F153">
        <v>23</v>
      </c>
      <c r="H153">
        <v>2</v>
      </c>
      <c r="I153" t="s">
        <v>709</v>
      </c>
      <c r="J153" t="s">
        <v>710</v>
      </c>
    </row>
    <row r="154" spans="6:10" x14ac:dyDescent="0.25">
      <c r="F154">
        <v>23</v>
      </c>
      <c r="H154">
        <v>3</v>
      </c>
      <c r="I154" t="s">
        <v>711</v>
      </c>
      <c r="J154" t="s">
        <v>712</v>
      </c>
    </row>
    <row r="155" spans="6:10" x14ac:dyDescent="0.25">
      <c r="F155">
        <v>23</v>
      </c>
      <c r="H155">
        <v>4</v>
      </c>
      <c r="I155" t="s">
        <v>713</v>
      </c>
      <c r="J155" t="s">
        <v>714</v>
      </c>
    </row>
    <row r="156" spans="6:10" x14ac:dyDescent="0.25">
      <c r="F156">
        <v>23</v>
      </c>
      <c r="H156">
        <v>5</v>
      </c>
      <c r="I156" t="s">
        <v>715</v>
      </c>
      <c r="J156" t="s">
        <v>716</v>
      </c>
    </row>
    <row r="157" spans="6:10" x14ac:dyDescent="0.25">
      <c r="F157">
        <v>23</v>
      </c>
      <c r="H157">
        <v>6</v>
      </c>
      <c r="I157" t="s">
        <v>717</v>
      </c>
      <c r="J157" t="s">
        <v>718</v>
      </c>
    </row>
    <row r="158" spans="6:10" x14ac:dyDescent="0.25">
      <c r="F158">
        <v>24</v>
      </c>
      <c r="H158">
        <v>1</v>
      </c>
      <c r="I158" t="s">
        <v>572</v>
      </c>
      <c r="J158" t="s">
        <v>719</v>
      </c>
    </row>
    <row r="159" spans="6:10" x14ac:dyDescent="0.25">
      <c r="F159">
        <v>24</v>
      </c>
      <c r="H159">
        <v>2</v>
      </c>
      <c r="I159" t="s">
        <v>720</v>
      </c>
      <c r="J159" t="s">
        <v>721</v>
      </c>
    </row>
    <row r="160" spans="6:10" x14ac:dyDescent="0.25">
      <c r="F160">
        <v>24</v>
      </c>
      <c r="H160">
        <v>3</v>
      </c>
      <c r="I160" t="s">
        <v>722</v>
      </c>
      <c r="J160" t="s">
        <v>723</v>
      </c>
    </row>
    <row r="161" spans="6:10" x14ac:dyDescent="0.25">
      <c r="F161">
        <v>24</v>
      </c>
      <c r="H161">
        <v>4</v>
      </c>
      <c r="I161" t="s">
        <v>574</v>
      </c>
      <c r="J161" t="s">
        <v>724</v>
      </c>
    </row>
    <row r="162" spans="6:10" x14ac:dyDescent="0.25">
      <c r="F162">
        <v>24</v>
      </c>
      <c r="H162">
        <v>5</v>
      </c>
      <c r="I162" t="s">
        <v>725</v>
      </c>
      <c r="J162" t="s">
        <v>726</v>
      </c>
    </row>
    <row r="163" spans="6:10" x14ac:dyDescent="0.25">
      <c r="F163">
        <v>25</v>
      </c>
      <c r="H163">
        <v>1</v>
      </c>
      <c r="I163" t="s">
        <v>517</v>
      </c>
      <c r="J163" t="s">
        <v>727</v>
      </c>
    </row>
    <row r="164" spans="6:10" x14ac:dyDescent="0.25">
      <c r="F164">
        <v>25</v>
      </c>
      <c r="H164">
        <v>2</v>
      </c>
      <c r="I164" t="s">
        <v>519</v>
      </c>
      <c r="J164" t="s">
        <v>728</v>
      </c>
    </row>
    <row r="165" spans="6:10" x14ac:dyDescent="0.25">
      <c r="F165">
        <v>25</v>
      </c>
      <c r="H165">
        <v>3</v>
      </c>
      <c r="I165" t="s">
        <v>521</v>
      </c>
      <c r="J165" t="s">
        <v>729</v>
      </c>
    </row>
    <row r="166" spans="6:10" x14ac:dyDescent="0.25">
      <c r="F166">
        <v>25</v>
      </c>
      <c r="H166">
        <v>4</v>
      </c>
      <c r="I166" t="s">
        <v>523</v>
      </c>
      <c r="J166" t="s">
        <v>730</v>
      </c>
    </row>
    <row r="167" spans="6:10" x14ac:dyDescent="0.25">
      <c r="F167">
        <v>25</v>
      </c>
      <c r="H167">
        <v>5</v>
      </c>
      <c r="I167" t="s">
        <v>525</v>
      </c>
      <c r="J167" t="s">
        <v>731</v>
      </c>
    </row>
    <row r="168" spans="6:10" x14ac:dyDescent="0.25">
      <c r="F168">
        <v>25</v>
      </c>
      <c r="H168">
        <v>6</v>
      </c>
      <c r="I168" t="s">
        <v>527</v>
      </c>
      <c r="J168" t="s">
        <v>732</v>
      </c>
    </row>
  </sheetData>
  <sheetProtection password="DB3D" sheet="1" objects="1" scenarios="1"/>
  <autoFilter ref="H19:H168" xr:uid="{00000000-0009-0000-0000-000004000000}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3" name="Nedrullningsbar listruta 4">
              <controlPr defaultSize="0" autoLine="0" autoPict="0">
                <anchor moveWithCells="1">
                  <from>
                    <xdr:col>0</xdr:col>
                    <xdr:colOff>590550</xdr:colOff>
                    <xdr:row>6</xdr:row>
                    <xdr:rowOff>190500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4" name="Drop Down 5">
              <controlPr defaultSize="0" autoLine="0" autoPict="0">
                <anchor moveWithCells="1">
                  <from>
                    <xdr:col>2</xdr:col>
                    <xdr:colOff>590550</xdr:colOff>
                    <xdr:row>6</xdr:row>
                    <xdr:rowOff>190500</xdr:rowOff>
                  </from>
                  <to>
                    <xdr:col>3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1"/>
  <dimension ref="A1:MP3"/>
  <sheetViews>
    <sheetView topLeftCell="EO1" workbookViewId="0">
      <selection activeCell="FD2" sqref="FD2 FD2"/>
    </sheetView>
  </sheetViews>
  <sheetFormatPr defaultRowHeight="15" x14ac:dyDescent="0.25"/>
  <cols>
    <col min="1" max="7" width="9.140625" customWidth="1"/>
    <col min="8" max="10" width="10.42578125" customWidth="1"/>
    <col min="11" max="28" width="9.140625" customWidth="1"/>
    <col min="29" max="29" width="10.42578125" bestFit="1" customWidth="1"/>
    <col min="30" max="33" width="9.140625" customWidth="1"/>
    <col min="34" max="34" width="10.42578125" bestFit="1" customWidth="1"/>
    <col min="35" max="116" width="9.140625" customWidth="1"/>
  </cols>
  <sheetData>
    <row r="1" spans="1:354" x14ac:dyDescent="0.25">
      <c r="A1" t="s">
        <v>733</v>
      </c>
      <c r="B1" t="s">
        <v>734</v>
      </c>
      <c r="C1" t="s">
        <v>735</v>
      </c>
      <c r="D1" t="s">
        <v>736</v>
      </c>
      <c r="E1" t="s">
        <v>737</v>
      </c>
      <c r="F1" t="s">
        <v>738</v>
      </c>
      <c r="G1" t="s">
        <v>739</v>
      </c>
      <c r="H1" t="s">
        <v>740</v>
      </c>
      <c r="I1" t="s">
        <v>741</v>
      </c>
      <c r="J1" t="s">
        <v>742</v>
      </c>
      <c r="K1" t="s">
        <v>743</v>
      </c>
      <c r="L1" t="s">
        <v>744</v>
      </c>
      <c r="M1" t="s">
        <v>745</v>
      </c>
      <c r="N1" t="s">
        <v>746</v>
      </c>
      <c r="O1" t="s">
        <v>747</v>
      </c>
      <c r="P1" t="s">
        <v>748</v>
      </c>
      <c r="Q1" t="s">
        <v>749</v>
      </c>
      <c r="R1" t="s">
        <v>750</v>
      </c>
      <c r="S1" t="s">
        <v>751</v>
      </c>
      <c r="T1" t="s">
        <v>752</v>
      </c>
      <c r="U1" t="s">
        <v>753</v>
      </c>
      <c r="V1" t="s">
        <v>754</v>
      </c>
      <c r="W1" t="s">
        <v>755</v>
      </c>
      <c r="X1" t="s">
        <v>756</v>
      </c>
      <c r="Y1" t="s">
        <v>757</v>
      </c>
      <c r="Z1" t="s">
        <v>758</v>
      </c>
      <c r="AA1" t="s">
        <v>759</v>
      </c>
      <c r="AB1" t="s">
        <v>760</v>
      </c>
      <c r="AC1" t="s">
        <v>761</v>
      </c>
      <c r="AD1" t="s">
        <v>762</v>
      </c>
      <c r="AE1" t="s">
        <v>763</v>
      </c>
      <c r="AF1" t="s">
        <v>764</v>
      </c>
      <c r="AG1" t="s">
        <v>765</v>
      </c>
      <c r="AH1" t="s">
        <v>766</v>
      </c>
      <c r="AI1" t="s">
        <v>767</v>
      </c>
      <c r="AJ1" t="s">
        <v>768</v>
      </c>
      <c r="AK1" t="s">
        <v>769</v>
      </c>
      <c r="AL1" t="s">
        <v>770</v>
      </c>
      <c r="AM1" t="s">
        <v>771</v>
      </c>
      <c r="AN1" t="s">
        <v>772</v>
      </c>
      <c r="AO1" t="s">
        <v>773</v>
      </c>
      <c r="AP1" t="s">
        <v>774</v>
      </c>
      <c r="AQ1" t="s">
        <v>775</v>
      </c>
      <c r="AR1" t="s">
        <v>776</v>
      </c>
      <c r="AS1" t="s">
        <v>777</v>
      </c>
      <c r="AT1" t="s">
        <v>778</v>
      </c>
      <c r="AU1" t="s">
        <v>779</v>
      </c>
      <c r="AV1" t="s">
        <v>780</v>
      </c>
      <c r="AW1" t="s">
        <v>781</v>
      </c>
      <c r="AX1" t="s">
        <v>782</v>
      </c>
      <c r="AY1" t="s">
        <v>783</v>
      </c>
      <c r="AZ1" t="s">
        <v>784</v>
      </c>
      <c r="BA1" t="s">
        <v>785</v>
      </c>
      <c r="BB1" t="s">
        <v>786</v>
      </c>
      <c r="BC1" t="s">
        <v>787</v>
      </c>
      <c r="BD1" t="s">
        <v>788</v>
      </c>
      <c r="BE1" t="s">
        <v>789</v>
      </c>
      <c r="BF1" t="s">
        <v>790</v>
      </c>
      <c r="BG1" t="s">
        <v>791</v>
      </c>
      <c r="BH1" t="s">
        <v>792</v>
      </c>
      <c r="BI1" t="s">
        <v>793</v>
      </c>
      <c r="BJ1" t="s">
        <v>794</v>
      </c>
      <c r="BK1" t="s">
        <v>795</v>
      </c>
      <c r="BL1" t="s">
        <v>796</v>
      </c>
      <c r="BM1" t="s">
        <v>797</v>
      </c>
      <c r="BN1" t="s">
        <v>798</v>
      </c>
      <c r="BO1" t="s">
        <v>799</v>
      </c>
      <c r="BP1" t="s">
        <v>800</v>
      </c>
      <c r="BQ1" t="s">
        <v>801</v>
      </c>
      <c r="BR1" t="s">
        <v>802</v>
      </c>
      <c r="BS1" t="s">
        <v>803</v>
      </c>
      <c r="BT1" t="s">
        <v>804</v>
      </c>
      <c r="BU1" t="s">
        <v>805</v>
      </c>
      <c r="BV1" t="s">
        <v>806</v>
      </c>
      <c r="BW1" t="s">
        <v>807</v>
      </c>
      <c r="BX1" t="s">
        <v>808</v>
      </c>
      <c r="BY1" t="s">
        <v>809</v>
      </c>
      <c r="BZ1" t="s">
        <v>810</v>
      </c>
      <c r="CA1" t="s">
        <v>811</v>
      </c>
      <c r="CB1" t="s">
        <v>812</v>
      </c>
      <c r="CC1" t="s">
        <v>813</v>
      </c>
      <c r="CD1" t="s">
        <v>814</v>
      </c>
      <c r="CE1" t="s">
        <v>815</v>
      </c>
      <c r="CF1" t="s">
        <v>816</v>
      </c>
      <c r="CG1" t="s">
        <v>817</v>
      </c>
      <c r="CH1" t="s">
        <v>818</v>
      </c>
      <c r="CI1" t="s">
        <v>819</v>
      </c>
      <c r="CJ1" t="s">
        <v>820</v>
      </c>
      <c r="CK1" t="s">
        <v>821</v>
      </c>
      <c r="CL1" t="s">
        <v>822</v>
      </c>
      <c r="CM1" t="s">
        <v>823</v>
      </c>
      <c r="CN1" t="s">
        <v>824</v>
      </c>
      <c r="CO1" t="s">
        <v>825</v>
      </c>
      <c r="CP1" t="s">
        <v>826</v>
      </c>
      <c r="CQ1" t="s">
        <v>827</v>
      </c>
      <c r="CR1" t="s">
        <v>828</v>
      </c>
      <c r="CS1" t="s">
        <v>829</v>
      </c>
      <c r="CT1" t="s">
        <v>830</v>
      </c>
      <c r="CU1" t="s">
        <v>831</v>
      </c>
      <c r="CV1" t="s">
        <v>832</v>
      </c>
      <c r="CW1" t="s">
        <v>833</v>
      </c>
      <c r="CX1" t="s">
        <v>834</v>
      </c>
      <c r="CY1" t="s">
        <v>835</v>
      </c>
      <c r="CZ1" t="s">
        <v>836</v>
      </c>
      <c r="DA1" t="s">
        <v>837</v>
      </c>
      <c r="DB1" t="s">
        <v>838</v>
      </c>
      <c r="DC1" t="s">
        <v>839</v>
      </c>
      <c r="DD1" t="s">
        <v>840</v>
      </c>
      <c r="DE1" t="s">
        <v>841</v>
      </c>
      <c r="DF1" t="s">
        <v>842</v>
      </c>
      <c r="DG1" t="s">
        <v>843</v>
      </c>
      <c r="DH1" t="s">
        <v>844</v>
      </c>
      <c r="DI1" t="s">
        <v>845</v>
      </c>
      <c r="DJ1" t="s">
        <v>846</v>
      </c>
      <c r="DK1" t="s">
        <v>847</v>
      </c>
      <c r="DL1" t="s">
        <v>848</v>
      </c>
      <c r="DM1" t="s">
        <v>849</v>
      </c>
      <c r="DN1" t="s">
        <v>850</v>
      </c>
      <c r="DO1" t="s">
        <v>851</v>
      </c>
      <c r="DP1" t="s">
        <v>852</v>
      </c>
      <c r="DQ1" t="s">
        <v>853</v>
      </c>
      <c r="DR1" t="s">
        <v>854</v>
      </c>
      <c r="DS1" t="s">
        <v>855</v>
      </c>
      <c r="DT1" t="s">
        <v>856</v>
      </c>
      <c r="DU1" t="s">
        <v>857</v>
      </c>
      <c r="DV1" t="s">
        <v>858</v>
      </c>
      <c r="DW1" t="s">
        <v>859</v>
      </c>
      <c r="DX1" t="s">
        <v>860</v>
      </c>
      <c r="DY1" t="s">
        <v>861</v>
      </c>
      <c r="DZ1" t="s">
        <v>862</v>
      </c>
      <c r="EA1" t="s">
        <v>863</v>
      </c>
      <c r="EB1" t="s">
        <v>864</v>
      </c>
      <c r="EC1" t="s">
        <v>865</v>
      </c>
      <c r="ED1" t="s">
        <v>866</v>
      </c>
      <c r="EE1" t="s">
        <v>867</v>
      </c>
      <c r="EF1" t="s">
        <v>868</v>
      </c>
      <c r="EG1" t="s">
        <v>869</v>
      </c>
      <c r="EH1" t="s">
        <v>870</v>
      </c>
      <c r="EI1" t="s">
        <v>871</v>
      </c>
      <c r="EL1" t="s">
        <v>872</v>
      </c>
      <c r="EM1" t="s">
        <v>873</v>
      </c>
      <c r="EN1" t="s">
        <v>874</v>
      </c>
      <c r="EO1" t="s">
        <v>875</v>
      </c>
      <c r="EP1" t="s">
        <v>876</v>
      </c>
      <c r="EQ1" t="s">
        <v>877</v>
      </c>
      <c r="ER1" t="s">
        <v>878</v>
      </c>
      <c r="ES1" t="s">
        <v>879</v>
      </c>
      <c r="ET1" t="s">
        <v>880</v>
      </c>
      <c r="EU1" t="s">
        <v>881</v>
      </c>
      <c r="EV1" t="s">
        <v>882</v>
      </c>
      <c r="EW1" t="s">
        <v>883</v>
      </c>
      <c r="EX1" t="s">
        <v>884</v>
      </c>
      <c r="EY1" t="s">
        <v>885</v>
      </c>
      <c r="EZ1" t="s">
        <v>886</v>
      </c>
      <c r="FA1" t="s">
        <v>887</v>
      </c>
      <c r="FB1" t="s">
        <v>888</v>
      </c>
      <c r="FC1" t="s">
        <v>889</v>
      </c>
      <c r="FD1" t="s">
        <v>890</v>
      </c>
      <c r="FE1" t="s">
        <v>891</v>
      </c>
      <c r="FF1" t="s">
        <v>892</v>
      </c>
      <c r="FG1" t="s">
        <v>893</v>
      </c>
      <c r="FH1" t="s">
        <v>894</v>
      </c>
      <c r="FI1" t="s">
        <v>895</v>
      </c>
      <c r="FJ1" t="s">
        <v>896</v>
      </c>
      <c r="FK1" t="s">
        <v>897</v>
      </c>
      <c r="FL1" t="s">
        <v>898</v>
      </c>
      <c r="FM1" t="s">
        <v>899</v>
      </c>
      <c r="FN1" t="s">
        <v>900</v>
      </c>
      <c r="FO1" t="s">
        <v>901</v>
      </c>
      <c r="FP1" t="s">
        <v>902</v>
      </c>
      <c r="FQ1" t="s">
        <v>903</v>
      </c>
      <c r="FR1" t="s">
        <v>904</v>
      </c>
      <c r="FS1" t="s">
        <v>905</v>
      </c>
      <c r="FT1" t="s">
        <v>906</v>
      </c>
      <c r="FU1" t="s">
        <v>907</v>
      </c>
      <c r="FV1" t="s">
        <v>908</v>
      </c>
      <c r="FW1" t="s">
        <v>909</v>
      </c>
      <c r="FX1" t="s">
        <v>910</v>
      </c>
      <c r="FY1" t="s">
        <v>911</v>
      </c>
      <c r="FZ1" t="s">
        <v>912</v>
      </c>
      <c r="GA1" t="s">
        <v>913</v>
      </c>
      <c r="GB1" t="s">
        <v>914</v>
      </c>
      <c r="GC1" t="s">
        <v>915</v>
      </c>
      <c r="GD1" t="s">
        <v>916</v>
      </c>
      <c r="GE1" t="s">
        <v>917</v>
      </c>
      <c r="GF1" t="s">
        <v>918</v>
      </c>
      <c r="GG1" t="s">
        <v>919</v>
      </c>
      <c r="GH1" t="s">
        <v>920</v>
      </c>
      <c r="GI1" t="s">
        <v>921</v>
      </c>
      <c r="GJ1" t="s">
        <v>922</v>
      </c>
      <c r="GK1" t="s">
        <v>923</v>
      </c>
      <c r="GL1" t="s">
        <v>924</v>
      </c>
      <c r="GM1" t="s">
        <v>925</v>
      </c>
      <c r="GN1" t="s">
        <v>926</v>
      </c>
      <c r="GO1" t="s">
        <v>927</v>
      </c>
      <c r="GP1" t="s">
        <v>928</v>
      </c>
      <c r="GQ1" t="s">
        <v>929</v>
      </c>
      <c r="GR1" t="s">
        <v>930</v>
      </c>
      <c r="GS1" t="s">
        <v>931</v>
      </c>
      <c r="GT1" t="s">
        <v>932</v>
      </c>
      <c r="GU1" t="s">
        <v>933</v>
      </c>
      <c r="GV1" t="s">
        <v>934</v>
      </c>
      <c r="GW1" t="s">
        <v>935</v>
      </c>
      <c r="GX1" t="s">
        <v>936</v>
      </c>
      <c r="GY1" t="s">
        <v>937</v>
      </c>
      <c r="GZ1" t="s">
        <v>938</v>
      </c>
      <c r="HA1" t="s">
        <v>939</v>
      </c>
      <c r="HB1" t="s">
        <v>940</v>
      </c>
      <c r="HC1" t="s">
        <v>941</v>
      </c>
      <c r="HD1" t="s">
        <v>942</v>
      </c>
      <c r="HE1" t="s">
        <v>943</v>
      </c>
      <c r="HF1" t="s">
        <v>944</v>
      </c>
      <c r="HG1" t="s">
        <v>945</v>
      </c>
      <c r="HH1" t="s">
        <v>946</v>
      </c>
      <c r="HI1" t="s">
        <v>947</v>
      </c>
      <c r="HJ1" t="s">
        <v>948</v>
      </c>
      <c r="HK1" t="s">
        <v>949</v>
      </c>
      <c r="HL1" t="s">
        <v>950</v>
      </c>
      <c r="HM1" t="s">
        <v>951</v>
      </c>
      <c r="HN1" t="s">
        <v>952</v>
      </c>
      <c r="HO1" t="s">
        <v>953</v>
      </c>
      <c r="HP1" t="s">
        <v>954</v>
      </c>
      <c r="HQ1" t="s">
        <v>955</v>
      </c>
      <c r="HR1" t="s">
        <v>956</v>
      </c>
      <c r="HS1" t="s">
        <v>957</v>
      </c>
      <c r="HT1" t="s">
        <v>958</v>
      </c>
      <c r="HU1" t="s">
        <v>959</v>
      </c>
      <c r="HV1" t="s">
        <v>960</v>
      </c>
      <c r="HW1" t="s">
        <v>961</v>
      </c>
      <c r="HX1" t="s">
        <v>962</v>
      </c>
      <c r="HY1" t="s">
        <v>963</v>
      </c>
      <c r="HZ1" t="s">
        <v>964</v>
      </c>
      <c r="IA1" t="s">
        <v>965</v>
      </c>
      <c r="IB1" t="s">
        <v>966</v>
      </c>
      <c r="IC1" t="s">
        <v>967</v>
      </c>
      <c r="ID1" t="s">
        <v>968</v>
      </c>
      <c r="IE1" t="s">
        <v>969</v>
      </c>
      <c r="IF1" t="s">
        <v>970</v>
      </c>
      <c r="IG1" t="s">
        <v>971</v>
      </c>
      <c r="IH1" t="s">
        <v>972</v>
      </c>
      <c r="II1" t="s">
        <v>973</v>
      </c>
      <c r="IJ1" t="s">
        <v>974</v>
      </c>
      <c r="IK1" t="s">
        <v>975</v>
      </c>
      <c r="IL1" t="s">
        <v>976</v>
      </c>
      <c r="IM1" t="s">
        <v>977</v>
      </c>
      <c r="IN1" t="s">
        <v>978</v>
      </c>
      <c r="IO1" t="s">
        <v>979</v>
      </c>
      <c r="IP1" t="s">
        <v>980</v>
      </c>
      <c r="IQ1" t="s">
        <v>981</v>
      </c>
      <c r="IR1" t="s">
        <v>982</v>
      </c>
      <c r="IS1" t="s">
        <v>983</v>
      </c>
      <c r="IT1" t="s">
        <v>984</v>
      </c>
      <c r="IU1" t="s">
        <v>985</v>
      </c>
      <c r="IV1" t="s">
        <v>986</v>
      </c>
      <c r="IW1" t="s">
        <v>987</v>
      </c>
      <c r="IX1" t="s">
        <v>988</v>
      </c>
      <c r="IY1" t="s">
        <v>989</v>
      </c>
      <c r="IZ1" t="s">
        <v>990</v>
      </c>
      <c r="JA1" t="s">
        <v>991</v>
      </c>
      <c r="JB1" t="s">
        <v>992</v>
      </c>
      <c r="JC1" t="s">
        <v>993</v>
      </c>
      <c r="JD1" t="s">
        <v>994</v>
      </c>
      <c r="JE1" t="s">
        <v>995</v>
      </c>
      <c r="JF1" t="s">
        <v>996</v>
      </c>
      <c r="JG1" t="s">
        <v>997</v>
      </c>
      <c r="JH1" t="s">
        <v>998</v>
      </c>
      <c r="JI1" t="s">
        <v>999</v>
      </c>
      <c r="JJ1" t="s">
        <v>1000</v>
      </c>
      <c r="JK1" t="s">
        <v>1001</v>
      </c>
      <c r="JL1" t="s">
        <v>1002</v>
      </c>
      <c r="JM1" t="s">
        <v>1003</v>
      </c>
      <c r="JN1" t="s">
        <v>1004</v>
      </c>
      <c r="JO1" t="s">
        <v>1005</v>
      </c>
      <c r="JP1" t="s">
        <v>1006</v>
      </c>
      <c r="JQ1" t="s">
        <v>1007</v>
      </c>
      <c r="JX1" t="s">
        <v>1008</v>
      </c>
      <c r="JY1" t="s">
        <v>1009</v>
      </c>
      <c r="JZ1" t="s">
        <v>1010</v>
      </c>
      <c r="KA1" t="s">
        <v>1011</v>
      </c>
      <c r="KB1" t="s">
        <v>1012</v>
      </c>
      <c r="KC1" t="s">
        <v>1013</v>
      </c>
      <c r="KD1" t="s">
        <v>1014</v>
      </c>
      <c r="KE1" t="s">
        <v>1015</v>
      </c>
      <c r="KF1" t="s">
        <v>1016</v>
      </c>
      <c r="KG1" t="s">
        <v>1017</v>
      </c>
      <c r="KH1" t="s">
        <v>1018</v>
      </c>
      <c r="KI1" t="s">
        <v>1019</v>
      </c>
      <c r="KJ1" t="s">
        <v>1020</v>
      </c>
      <c r="KK1" t="s">
        <v>1021</v>
      </c>
      <c r="KL1" t="s">
        <v>1022</v>
      </c>
      <c r="KM1" t="s">
        <v>1023</v>
      </c>
      <c r="KN1" t="s">
        <v>1024</v>
      </c>
      <c r="KO1" t="s">
        <v>1025</v>
      </c>
      <c r="KP1" t="s">
        <v>1026</v>
      </c>
      <c r="KQ1" t="s">
        <v>1027</v>
      </c>
      <c r="KR1" t="s">
        <v>1028</v>
      </c>
      <c r="KS1" t="s">
        <v>1029</v>
      </c>
      <c r="KT1" t="s">
        <v>1030</v>
      </c>
      <c r="KU1" t="s">
        <v>1031</v>
      </c>
      <c r="KV1" t="s">
        <v>1032</v>
      </c>
      <c r="KW1" t="s">
        <v>1033</v>
      </c>
      <c r="KX1" t="s">
        <v>1034</v>
      </c>
      <c r="KY1" t="s">
        <v>1035</v>
      </c>
      <c r="KZ1" t="s">
        <v>1036</v>
      </c>
      <c r="LA1" t="s">
        <v>1037</v>
      </c>
      <c r="LB1" t="s">
        <v>1038</v>
      </c>
      <c r="LC1" t="s">
        <v>1039</v>
      </c>
      <c r="LD1" t="s">
        <v>1040</v>
      </c>
      <c r="LE1" t="s">
        <v>1041</v>
      </c>
      <c r="LF1" t="s">
        <v>1042</v>
      </c>
      <c r="LG1" t="s">
        <v>1043</v>
      </c>
      <c r="LH1" t="s">
        <v>1044</v>
      </c>
      <c r="LI1" t="s">
        <v>1045</v>
      </c>
      <c r="LJ1" t="s">
        <v>1046</v>
      </c>
      <c r="LK1" t="s">
        <v>1047</v>
      </c>
      <c r="LL1" t="s">
        <v>1048</v>
      </c>
      <c r="LM1" t="s">
        <v>1049</v>
      </c>
      <c r="LN1" t="s">
        <v>1050</v>
      </c>
      <c r="LO1" t="s">
        <v>1051</v>
      </c>
      <c r="LP1" t="s">
        <v>1052</v>
      </c>
      <c r="LQ1" t="s">
        <v>1053</v>
      </c>
      <c r="LR1" t="s">
        <v>1054</v>
      </c>
      <c r="LS1" t="s">
        <v>1055</v>
      </c>
      <c r="LT1" t="s">
        <v>1056</v>
      </c>
      <c r="LU1" t="s">
        <v>1057</v>
      </c>
      <c r="LV1" t="s">
        <v>1058</v>
      </c>
      <c r="LW1" t="s">
        <v>1059</v>
      </c>
      <c r="LX1" t="s">
        <v>1060</v>
      </c>
      <c r="LY1" t="s">
        <v>1061</v>
      </c>
      <c r="LZ1" t="s">
        <v>1062</v>
      </c>
      <c r="MA1" t="s">
        <v>1063</v>
      </c>
      <c r="MB1" t="s">
        <v>1064</v>
      </c>
      <c r="MC1" t="s">
        <v>1065</v>
      </c>
      <c r="MD1" t="s">
        <v>1066</v>
      </c>
      <c r="ME1" t="s">
        <v>1067</v>
      </c>
      <c r="MH1" t="s">
        <v>1068</v>
      </c>
      <c r="MI1" t="s">
        <v>1069</v>
      </c>
      <c r="MJ1" t="s">
        <v>1070</v>
      </c>
      <c r="MK1" t="s">
        <v>1071</v>
      </c>
      <c r="ML1" t="s">
        <v>1072</v>
      </c>
      <c r="MM1" t="s">
        <v>1073</v>
      </c>
      <c r="MN1" t="s">
        <v>1074</v>
      </c>
      <c r="MO1" t="s">
        <v>1075</v>
      </c>
      <c r="MP1" t="s">
        <v>1076</v>
      </c>
    </row>
    <row r="2" spans="1:354" x14ac:dyDescent="0.25">
      <c r="A2" t="str">
        <f>Skötselplan!C1</f>
        <v>Halasjö ÄSO</v>
      </c>
      <c r="B2" t="b">
        <v>0</v>
      </c>
      <c r="C2" t="b">
        <v>1</v>
      </c>
      <c r="D2" t="b">
        <v>1</v>
      </c>
      <c r="E2" t="b">
        <v>0</v>
      </c>
      <c r="F2" t="b">
        <v>0</v>
      </c>
      <c r="G2" s="213">
        <f>Skötselplan!E5</f>
        <v>0</v>
      </c>
      <c r="H2" s="214">
        <f>Skötselplan!C6</f>
        <v>45405</v>
      </c>
      <c r="I2" s="213" t="str">
        <f>Skötselplan!C15</f>
        <v>10-04-01-001-Ä</v>
      </c>
      <c r="J2" s="90" t="str">
        <f>Skötselplan!C16</f>
        <v>ÄFO V</v>
      </c>
      <c r="K2">
        <f>Skötselplan!C8</f>
        <v>0</v>
      </c>
      <c r="L2" s="213"/>
      <c r="M2" s="213"/>
      <c r="N2" s="213"/>
      <c r="O2" s="213"/>
      <c r="R2" s="213"/>
      <c r="S2" s="213"/>
      <c r="T2" s="213"/>
      <c r="U2" s="213"/>
      <c r="Y2" s="213"/>
      <c r="Z2" s="213"/>
      <c r="AA2">
        <f>Skötselplan!C9</f>
        <v>2024</v>
      </c>
      <c r="AB2">
        <f>Skötselplan!E9</f>
        <v>2026</v>
      </c>
      <c r="AC2" s="214">
        <f>Skötselplan!C10</f>
        <v>45405</v>
      </c>
      <c r="AD2" t="str">
        <f>Skötselplan!C11</f>
        <v>I period pga ändrade förhållanden</v>
      </c>
      <c r="AE2">
        <f>Skötselplan!C14</f>
        <v>0</v>
      </c>
      <c r="AF2">
        <f>Skötselplan!F14</f>
        <v>0</v>
      </c>
      <c r="AG2" t="str">
        <f>Skötselplan!C15</f>
        <v>10-04-01-001-Ä</v>
      </c>
      <c r="AH2" s="214">
        <f>Skötselplan!C25</f>
        <v>0</v>
      </c>
      <c r="AI2" t="b">
        <v>1</v>
      </c>
      <c r="AJ2" t="b">
        <v>0</v>
      </c>
      <c r="AK2" t="b">
        <v>0</v>
      </c>
      <c r="AN2">
        <f>Skötselplan!B60</f>
        <v>3.6</v>
      </c>
      <c r="AO2" s="215">
        <f>Skötselplan!B63</f>
        <v>0.35</v>
      </c>
      <c r="AP2" s="216" t="str">
        <f>Skötselplan!B64</f>
        <v>0.7</v>
      </c>
      <c r="AQ2" s="215">
        <f>Skötselplan!B65</f>
        <v>0.6</v>
      </c>
      <c r="AR2" s="213">
        <f>Skötselplan!B66</f>
        <v>0</v>
      </c>
      <c r="AT2" s="215"/>
      <c r="AU2" s="213"/>
      <c r="AV2" s="213"/>
      <c r="AW2" s="213"/>
      <c r="AX2" s="215"/>
      <c r="AY2" s="213">
        <f>Skötselplan!B85</f>
        <v>3</v>
      </c>
      <c r="AZ2" s="213">
        <f>Skötselplan!B86</f>
        <v>4</v>
      </c>
      <c r="BA2" s="213">
        <f>Skötselplan!B87</f>
        <v>9</v>
      </c>
      <c r="BB2" s="217">
        <f>Skötselplan!B90</f>
        <v>14768</v>
      </c>
      <c r="BC2" s="217">
        <f>Skötselplan!B102</f>
        <v>4200</v>
      </c>
      <c r="BD2" s="217">
        <f>Skötselplan!C102</f>
        <v>2831</v>
      </c>
      <c r="BE2">
        <f>Skötselplan!B103</f>
        <v>3.9E-2</v>
      </c>
      <c r="BF2">
        <f>Skötselplan!C103</f>
        <v>4.3999999999999997E-2</v>
      </c>
      <c r="BG2" s="216">
        <f>Skötselplan!B104</f>
        <v>0.48199999999999998</v>
      </c>
      <c r="BH2" s="216">
        <f>Skötselplan!C104</f>
        <v>0.95499999999999996</v>
      </c>
      <c r="BI2" s="215">
        <f>Skötselplan!B105</f>
        <v>0.31</v>
      </c>
      <c r="BJ2" s="215">
        <f>Skötselplan!C105</f>
        <v>0.39</v>
      </c>
      <c r="BK2" s="213">
        <f>Skötselplan!B112</f>
        <v>473</v>
      </c>
      <c r="BL2" s="213">
        <f>Skötselplan!C112</f>
        <v>442</v>
      </c>
      <c r="BM2" s="213">
        <f>Skötselplan!D112</f>
        <v>388</v>
      </c>
      <c r="BN2" s="213">
        <f>Skötselplan!E112</f>
        <v>383</v>
      </c>
      <c r="BO2" s="213">
        <f>Skötselplan!F112</f>
        <v>369</v>
      </c>
      <c r="BP2" s="213">
        <f>Skötselplan!G112</f>
        <v>422</v>
      </c>
      <c r="BQ2" s="213">
        <f>Skötselplan!B113</f>
        <v>170</v>
      </c>
      <c r="BR2" s="213">
        <f>Skötselplan!C113</f>
        <v>170</v>
      </c>
      <c r="BS2" s="213">
        <f>Skötselplan!D113</f>
        <v>170</v>
      </c>
      <c r="BT2" s="213">
        <f>Skötselplan!E113</f>
        <v>170</v>
      </c>
      <c r="BU2" s="213">
        <f>Skötselplan!F113</f>
        <v>170</v>
      </c>
      <c r="BV2" s="213">
        <f>Skötselplan!G113</f>
        <v>170</v>
      </c>
      <c r="BW2" s="213">
        <f>Skötselplan!B114</f>
        <v>48</v>
      </c>
      <c r="BX2" s="213">
        <f>Skötselplan!C114</f>
        <v>21</v>
      </c>
      <c r="BY2" s="213">
        <f>Skötselplan!D114</f>
        <v>30</v>
      </c>
      <c r="BZ2" s="213">
        <f>Skötselplan!E114</f>
        <v>20</v>
      </c>
      <c r="CA2" s="213">
        <f>Skötselplan!F114</f>
        <v>16</v>
      </c>
      <c r="CB2" s="213">
        <f>Skötselplan!G114</f>
        <v>20</v>
      </c>
      <c r="CC2" s="213">
        <f>Skötselplan!B115</f>
        <v>17</v>
      </c>
      <c r="CD2" s="213">
        <f>Skötselplan!C115</f>
        <v>17</v>
      </c>
      <c r="CE2" s="213">
        <f>Skötselplan!D115</f>
        <v>17</v>
      </c>
      <c r="CF2" s="213">
        <f>Skötselplan!E115</f>
        <v>17</v>
      </c>
      <c r="CG2" s="213">
        <f>Skötselplan!F115</f>
        <v>17</v>
      </c>
      <c r="CH2" s="213">
        <f>Skötselplan!G115</f>
        <v>17</v>
      </c>
      <c r="CI2" s="213">
        <f>Skötselplan!B130</f>
        <v>0</v>
      </c>
      <c r="CJ2" s="213">
        <f>Skötselplan!C130</f>
        <v>0</v>
      </c>
      <c r="CK2" s="213">
        <f>Skötselplan!D130</f>
        <v>0</v>
      </c>
      <c r="CL2" s="213">
        <f>Skötselplan!E130</f>
        <v>0</v>
      </c>
      <c r="CM2" s="213">
        <f>Skötselplan!F130</f>
        <v>0</v>
      </c>
      <c r="CN2" s="213">
        <f>Skötselplan!B131</f>
        <v>0</v>
      </c>
      <c r="CO2" s="213">
        <f>Skötselplan!C131</f>
        <v>0</v>
      </c>
      <c r="CP2" s="213">
        <f>Skötselplan!D131</f>
        <v>48</v>
      </c>
      <c r="CQ2" s="213">
        <f>Skötselplan!E131</f>
        <v>46</v>
      </c>
      <c r="CR2" s="213">
        <f>Skötselplan!F131</f>
        <v>49.6</v>
      </c>
      <c r="CS2" s="213">
        <f>Skötselplan!B132</f>
        <v>0</v>
      </c>
      <c r="CT2" s="213">
        <f>Skötselplan!C132</f>
        <v>0</v>
      </c>
      <c r="CU2" s="213">
        <f>Skötselplan!D132</f>
        <v>48</v>
      </c>
      <c r="CV2" s="213">
        <f>Skötselplan!E132</f>
        <v>46</v>
      </c>
      <c r="CW2" s="213">
        <f>Skötselplan!F132</f>
        <v>50</v>
      </c>
      <c r="CX2" s="213">
        <f>Skötselplan!B151</f>
        <v>0</v>
      </c>
      <c r="CY2" s="213">
        <f>Skötselplan!C151</f>
        <v>0</v>
      </c>
      <c r="CZ2" s="213">
        <f>Skötselplan!D151</f>
        <v>0</v>
      </c>
      <c r="DA2" s="213">
        <f>Skötselplan!E151</f>
        <v>4</v>
      </c>
      <c r="DB2" s="213">
        <f>Skötselplan!F151</f>
        <v>2.5</v>
      </c>
      <c r="DC2" s="213">
        <f>Skötselplan!B153</f>
        <v>0</v>
      </c>
      <c r="DD2" s="213">
        <f>Skötselplan!C153</f>
        <v>0</v>
      </c>
      <c r="DE2" s="213">
        <f>Skötselplan!D153</f>
        <v>8</v>
      </c>
      <c r="DF2" s="213">
        <f>Skötselplan!E153</f>
        <v>6</v>
      </c>
      <c r="DG2" s="213">
        <f>Skötselplan!F153</f>
        <v>1.5</v>
      </c>
      <c r="DH2" s="213">
        <f>Skötselplan!B162</f>
        <v>0</v>
      </c>
      <c r="DI2" s="213">
        <f>Skötselplan!C162</f>
        <v>0</v>
      </c>
      <c r="DJ2" s="213">
        <f>Skötselplan!D162</f>
        <v>0</v>
      </c>
      <c r="DK2" s="213">
        <f>Skötselplan!E162</f>
        <v>0</v>
      </c>
      <c r="DL2" s="213">
        <f>Skötselplan!F162</f>
        <v>0</v>
      </c>
      <c r="DM2">
        <f>Skötselplan!B168</f>
        <v>0</v>
      </c>
      <c r="DN2">
        <f>Skötselplan!C168</f>
        <v>0</v>
      </c>
      <c r="DO2">
        <f>Skötselplan!D168</f>
        <v>0</v>
      </c>
      <c r="DP2" s="213">
        <f>Skötselplan!B169</f>
        <v>0</v>
      </c>
      <c r="DQ2" s="213">
        <f>Skötselplan!C169</f>
        <v>0</v>
      </c>
      <c r="DR2" s="213">
        <f>Skötselplan!D169</f>
        <v>0</v>
      </c>
      <c r="DS2" s="213">
        <f>Skötselplan!B170</f>
        <v>0</v>
      </c>
      <c r="DT2" s="213">
        <f>Skötselplan!C170</f>
        <v>0</v>
      </c>
      <c r="DU2" s="213">
        <f>Skötselplan!D170</f>
        <v>0</v>
      </c>
      <c r="DV2" s="213">
        <f>Skötselplan!B171</f>
        <v>0</v>
      </c>
      <c r="DW2" s="213">
        <f>Skötselplan!C171</f>
        <v>0</v>
      </c>
      <c r="DX2" s="213">
        <f>Skötselplan!D171</f>
        <v>0</v>
      </c>
      <c r="DY2" s="213">
        <f>Skötselplan!B172</f>
        <v>0</v>
      </c>
      <c r="DZ2" s="213">
        <f>Skötselplan!C172</f>
        <v>0</v>
      </c>
      <c r="EA2" s="213">
        <f>Skötselplan!D172</f>
        <v>0</v>
      </c>
      <c r="EB2" t="b">
        <v>0</v>
      </c>
      <c r="EC2" t="b">
        <v>0</v>
      </c>
      <c r="ED2" t="b">
        <v>1</v>
      </c>
      <c r="EE2">
        <f>Skötselplan!B182</f>
        <v>0</v>
      </c>
      <c r="EF2">
        <f>Skötselplan!C182</f>
        <v>0</v>
      </c>
      <c r="EG2">
        <f>Skötselplan!D182</f>
        <v>3.6</v>
      </c>
      <c r="EH2">
        <f>Skötselplan!E182</f>
        <v>3.6</v>
      </c>
      <c r="EI2">
        <f>Skötselplan!F182</f>
        <v>1.6</v>
      </c>
      <c r="EJ2" s="213"/>
      <c r="EK2" s="213"/>
      <c r="EL2" t="b">
        <v>0</v>
      </c>
      <c r="EM2" t="b">
        <v>1</v>
      </c>
      <c r="EN2" t="b">
        <v>0</v>
      </c>
      <c r="EO2" t="b">
        <v>1</v>
      </c>
      <c r="EP2" t="b">
        <v>0</v>
      </c>
      <c r="EQ2" t="b">
        <v>0</v>
      </c>
      <c r="ER2" t="b">
        <v>0</v>
      </c>
      <c r="ES2" t="b">
        <v>1</v>
      </c>
      <c r="ET2" t="b">
        <v>0</v>
      </c>
      <c r="EU2" t="b">
        <v>1</v>
      </c>
      <c r="EV2" t="b">
        <v>0</v>
      </c>
      <c r="EW2" t="b">
        <v>0</v>
      </c>
      <c r="EZ2" s="213"/>
      <c r="FB2" s="213"/>
      <c r="FC2" s="213"/>
      <c r="FD2" s="90"/>
      <c r="FE2" s="217">
        <f>Skötselplan!B233</f>
        <v>11954</v>
      </c>
      <c r="FF2" s="217">
        <f>Skötselplan!C233</f>
        <v>11988</v>
      </c>
      <c r="FG2" s="217">
        <f>Skötselplan!D233</f>
        <v>12105</v>
      </c>
      <c r="FH2" s="217">
        <f>Skötselplan!E233</f>
        <v>12292</v>
      </c>
      <c r="FI2" s="217">
        <f>Skötselplan!F233</f>
        <v>12645</v>
      </c>
      <c r="FJ2" s="217">
        <f>Skötselplan!G233</f>
        <v>0</v>
      </c>
      <c r="FK2" s="217">
        <f>Skötselplan!H233</f>
        <v>0</v>
      </c>
      <c r="FL2" s="215">
        <f>Skötselplan!C234</f>
        <v>0</v>
      </c>
      <c r="FM2" s="215">
        <f>Skötselplan!D234</f>
        <v>0</v>
      </c>
      <c r="FN2" s="215">
        <f>Skötselplan!E234</f>
        <v>0</v>
      </c>
      <c r="FO2" t="b">
        <v>0</v>
      </c>
      <c r="FP2" t="b">
        <v>0</v>
      </c>
      <c r="FQ2" t="b">
        <v>0</v>
      </c>
      <c r="FS2" s="215"/>
      <c r="FT2" s="215"/>
      <c r="FU2" s="215"/>
      <c r="FV2" s="215"/>
      <c r="GL2" t="b">
        <v>0</v>
      </c>
      <c r="GM2" t="b">
        <v>0</v>
      </c>
      <c r="GN2" t="b">
        <v>0</v>
      </c>
      <c r="GO2" t="b">
        <v>0</v>
      </c>
      <c r="GP2" t="str">
        <f>Skötselplan!D252</f>
        <v>Välj i lista</v>
      </c>
      <c r="GQ2" t="str">
        <f>Skötselplan!E252</f>
        <v>Välj i lista</v>
      </c>
      <c r="GR2" t="str">
        <f>Skötselplan!F252</f>
        <v>Välj i lista</v>
      </c>
      <c r="GS2" s="90">
        <f>Skötselplan!B254</f>
        <v>0</v>
      </c>
      <c r="GT2" t="b">
        <v>1</v>
      </c>
      <c r="GU2" t="b">
        <v>0</v>
      </c>
      <c r="GV2" s="90">
        <f>Skötselplan!A266</f>
        <v>0</v>
      </c>
      <c r="GW2" s="213">
        <f>Skötselplan!B274</f>
        <v>3</v>
      </c>
      <c r="GX2" s="213">
        <f>Skötselplan!C274</f>
        <v>7</v>
      </c>
      <c r="GY2" s="213">
        <f>Skötselplan!D274</f>
        <v>2</v>
      </c>
      <c r="GZ2" s="213">
        <f>Skötselplan!B275</f>
        <v>1</v>
      </c>
      <c r="HA2" s="213">
        <f>Skötselplan!C275</f>
        <v>1</v>
      </c>
      <c r="HB2" s="213">
        <f>Skötselplan!D275</f>
        <v>1</v>
      </c>
      <c r="HC2" s="213">
        <f>Skötselplan!B276</f>
        <v>1</v>
      </c>
      <c r="HD2" s="213">
        <f>Skötselplan!C276</f>
        <v>4</v>
      </c>
      <c r="HE2" s="213">
        <f>Skötselplan!D276</f>
        <v>1</v>
      </c>
      <c r="HF2" s="213">
        <f>Skötselplan!B284</f>
        <v>0</v>
      </c>
      <c r="HG2" s="213">
        <f>Skötselplan!C284</f>
        <v>0</v>
      </c>
      <c r="HH2" s="213">
        <f>Skötselplan!D284</f>
        <v>0</v>
      </c>
      <c r="HI2" s="213">
        <f>Skötselplan!B282</f>
        <v>0</v>
      </c>
      <c r="HJ2" s="213">
        <f>Skötselplan!C282</f>
        <v>1</v>
      </c>
      <c r="HK2" s="213">
        <f>Skötselplan!D282</f>
        <v>2</v>
      </c>
      <c r="HL2" s="213">
        <f>Skötselplan!B283</f>
        <v>0</v>
      </c>
      <c r="HM2" s="213">
        <f>Skötselplan!C283</f>
        <v>2</v>
      </c>
      <c r="HN2" s="213">
        <f>Skötselplan!D283</f>
        <v>1</v>
      </c>
      <c r="HO2" s="213">
        <f>Skötselplan!B284</f>
        <v>0</v>
      </c>
      <c r="HP2" s="213">
        <f>Skötselplan!C284</f>
        <v>0</v>
      </c>
      <c r="HQ2" s="213">
        <f>Skötselplan!D284</f>
        <v>0</v>
      </c>
      <c r="HR2" s="90">
        <f>Skötselplan!A291</f>
        <v>0</v>
      </c>
      <c r="HS2" s="90">
        <f>Skötselplan!B291</f>
        <v>0</v>
      </c>
      <c r="HT2" s="90">
        <f>Skötselplan!C291</f>
        <v>0</v>
      </c>
      <c r="HU2" s="213">
        <f>Skötselplan!A292</f>
        <v>0</v>
      </c>
      <c r="HV2" s="213">
        <f>Skötselplan!B292</f>
        <v>0</v>
      </c>
      <c r="HW2" s="213">
        <f>Skötselplan!C292</f>
        <v>0</v>
      </c>
      <c r="HX2" s="90">
        <f>Skötselplan!A293</f>
        <v>0</v>
      </c>
      <c r="HY2" s="90">
        <f>Skötselplan!B293</f>
        <v>0</v>
      </c>
      <c r="HZ2" s="90">
        <f>Skötselplan!C293</f>
        <v>0</v>
      </c>
      <c r="IA2" s="90">
        <f>Skötselplan!A294</f>
        <v>0</v>
      </c>
      <c r="IB2" s="90">
        <f>Skötselplan!B294</f>
        <v>0</v>
      </c>
      <c r="IC2" s="90">
        <f>Skötselplan!C294</f>
        <v>0</v>
      </c>
      <c r="ID2" s="90">
        <f>Skötselplan!A295</f>
        <v>0</v>
      </c>
      <c r="IE2" s="90">
        <f>Skötselplan!B295</f>
        <v>0</v>
      </c>
      <c r="IF2" s="90">
        <f>Skötselplan!C295</f>
        <v>0</v>
      </c>
      <c r="IG2">
        <f>Skötselplan!A299</f>
        <v>0</v>
      </c>
      <c r="IH2" s="216">
        <f>Skötselplan!C299</f>
        <v>0</v>
      </c>
      <c r="II2">
        <f>Skötselplan!$E311</f>
        <v>0</v>
      </c>
      <c r="IJ2">
        <f>Skötselplan!$E312</f>
        <v>0</v>
      </c>
      <c r="IK2">
        <f>Skötselplan!$E313</f>
        <v>0</v>
      </c>
      <c r="IL2">
        <f>Skötselplan!$E314</f>
        <v>0</v>
      </c>
      <c r="IM2">
        <f>Skötselplan!$E315</f>
        <v>0</v>
      </c>
      <c r="IN2">
        <f>Skötselplan!$E316</f>
        <v>0</v>
      </c>
      <c r="IO2">
        <f>Skötselplan!$E317</f>
        <v>0</v>
      </c>
      <c r="IP2">
        <f>Skötselplan!$E318</f>
        <v>0</v>
      </c>
      <c r="IQ2">
        <f>Skötselplan!$E319</f>
        <v>0</v>
      </c>
      <c r="IR2">
        <f>Skötselplan!$E320</f>
        <v>0</v>
      </c>
      <c r="IS2">
        <f>Skötselplan!$E321</f>
        <v>0</v>
      </c>
      <c r="IT2">
        <f>Skötselplan!$E322</f>
        <v>0</v>
      </c>
      <c r="IU2" s="90">
        <f>Skötselplan!F311</f>
        <v>0</v>
      </c>
      <c r="IV2" s="90">
        <f>Skötselplan!F312</f>
        <v>0</v>
      </c>
      <c r="IW2" s="90">
        <f>Skötselplan!F313</f>
        <v>0</v>
      </c>
      <c r="IX2" s="90">
        <f>Skötselplan!F314</f>
        <v>0</v>
      </c>
      <c r="IY2" s="90">
        <f>Skötselplan!F315</f>
        <v>0</v>
      </c>
      <c r="IZ2" s="90">
        <f>Skötselplan!F316</f>
        <v>0</v>
      </c>
      <c r="JA2" s="90">
        <f>Skötselplan!F317</f>
        <v>0</v>
      </c>
      <c r="JB2" s="90">
        <f>Skötselplan!F318</f>
        <v>0</v>
      </c>
      <c r="JC2" s="90">
        <f>Skötselplan!F319</f>
        <v>0</v>
      </c>
      <c r="JD2" s="90">
        <f>Skötselplan!F320</f>
        <v>0</v>
      </c>
      <c r="JE2" s="90">
        <f>Skötselplan!F321</f>
        <v>0</v>
      </c>
      <c r="JF2" s="90">
        <f>Skötselplan!F322</f>
        <v>0</v>
      </c>
      <c r="JG2" s="213">
        <f>Skötselplan!B330</f>
        <v>1</v>
      </c>
      <c r="JH2" s="213">
        <f>Skötselplan!C330</f>
        <v>0</v>
      </c>
      <c r="JI2" s="213">
        <f>Skötselplan!D330</f>
        <v>0</v>
      </c>
      <c r="JJ2" s="213">
        <f>Skötselplan!B331</f>
        <v>0</v>
      </c>
      <c r="JK2" s="213">
        <f>Skötselplan!C331</f>
        <v>0</v>
      </c>
      <c r="JL2" s="213">
        <f>Skötselplan!D331</f>
        <v>0</v>
      </c>
      <c r="JM2" s="213">
        <f>Skötselplan!B332</f>
        <v>5</v>
      </c>
      <c r="JN2" s="213">
        <f>Skötselplan!C332</f>
        <v>0</v>
      </c>
      <c r="JO2" s="213">
        <f>Skötselplan!D332</f>
        <v>0</v>
      </c>
      <c r="JP2" t="b">
        <v>1</v>
      </c>
      <c r="JQ2" t="b">
        <v>0</v>
      </c>
      <c r="JS2" s="215"/>
      <c r="JT2" s="215"/>
      <c r="JU2" s="215"/>
      <c r="JV2" s="213"/>
      <c r="JW2" s="213"/>
      <c r="JX2" t="b">
        <v>0</v>
      </c>
      <c r="JY2" t="b">
        <v>0</v>
      </c>
      <c r="JZ2" t="b">
        <v>0</v>
      </c>
      <c r="KA2" t="b">
        <v>1</v>
      </c>
      <c r="KB2" t="b">
        <v>1</v>
      </c>
      <c r="KC2" t="b">
        <v>1</v>
      </c>
      <c r="KD2" t="b">
        <v>0</v>
      </c>
      <c r="KE2" t="b">
        <v>0</v>
      </c>
      <c r="KF2" t="b">
        <v>0</v>
      </c>
      <c r="KG2" t="b">
        <v>1</v>
      </c>
      <c r="KH2" t="b">
        <v>1</v>
      </c>
      <c r="KI2" t="b">
        <v>1</v>
      </c>
      <c r="KJ2" t="b">
        <v>1</v>
      </c>
      <c r="KK2" t="b">
        <v>1</v>
      </c>
      <c r="KL2" t="b">
        <v>1</v>
      </c>
      <c r="KM2" t="b">
        <v>1</v>
      </c>
      <c r="KN2" t="b">
        <v>1</v>
      </c>
      <c r="KO2" t="b">
        <v>1</v>
      </c>
      <c r="KP2" t="b">
        <v>0</v>
      </c>
      <c r="KQ2" t="b">
        <v>0</v>
      </c>
      <c r="KR2" t="b">
        <v>0</v>
      </c>
      <c r="KS2">
        <f>Skötselplan!B376</f>
        <v>0</v>
      </c>
      <c r="KT2">
        <f>Skötselplan!C376</f>
        <v>0</v>
      </c>
      <c r="KU2">
        <f>Skötselplan!D376</f>
        <v>0</v>
      </c>
      <c r="KV2" s="215">
        <f>Skötselplan!B377</f>
        <v>0</v>
      </c>
      <c r="KW2" s="215">
        <f>Skötselplan!C377</f>
        <v>0</v>
      </c>
      <c r="KX2" s="215">
        <f>Skötselplan!D377</f>
        <v>0</v>
      </c>
      <c r="KY2" s="216">
        <f>Skötselplan!B378</f>
        <v>0</v>
      </c>
      <c r="KZ2" s="216">
        <f>Skötselplan!C378</f>
        <v>0</v>
      </c>
      <c r="LA2" s="216">
        <f>Skötselplan!D378</f>
        <v>0</v>
      </c>
      <c r="LB2" s="215">
        <f>Skötselplan!B379</f>
        <v>0</v>
      </c>
      <c r="LC2" s="215">
        <f>Skötselplan!C379</f>
        <v>0</v>
      </c>
      <c r="LD2" s="215">
        <f>Skötselplan!D379</f>
        <v>0</v>
      </c>
      <c r="LE2" t="b">
        <v>1</v>
      </c>
      <c r="LF2" t="b">
        <v>1</v>
      </c>
      <c r="LG2" t="b">
        <v>1</v>
      </c>
      <c r="LH2" t="b">
        <v>1</v>
      </c>
      <c r="LI2" s="90" t="str">
        <f>Skötselplan!B50</f>
        <v>Klart sjunkande vinterstam målet inte uppnått</v>
      </c>
      <c r="LJ2" s="90" t="str">
        <f>Skötselplan!A96</f>
        <v xml:space="preserve"> </v>
      </c>
      <c r="LK2" s="90">
        <f>Skötselplan!A97</f>
        <v>0</v>
      </c>
      <c r="LL2" s="90">
        <f>Skötselplan!A107</f>
        <v>0</v>
      </c>
      <c r="LM2" s="90">
        <f>Skötselplan!A108</f>
        <v>0</v>
      </c>
      <c r="LN2" s="90" t="str">
        <f>Skötselplan!A122</f>
        <v>För lite provytor för att få ett statistisk säkerställt resultat</v>
      </c>
      <c r="LO2" s="90">
        <f>Skötselplan!A123</f>
        <v>0</v>
      </c>
      <c r="LP2" s="90">
        <f>Skötselplan!A134</f>
        <v>0</v>
      </c>
      <c r="LQ2" s="90">
        <f>Skötselplan!A135</f>
        <v>0</v>
      </c>
      <c r="LR2" s="90" t="str">
        <f>Skötselplan!A145</f>
        <v>Införda restriktioner på antal taggar (4-8 fredade) har gjort att avskjutningen inrtiktats på "pinntjur"</v>
      </c>
      <c r="LS2" s="90">
        <f>Skötselplan!A146</f>
        <v>0</v>
      </c>
      <c r="LT2" s="90">
        <f>Skötselplan!C155</f>
        <v>0</v>
      </c>
      <c r="LU2" s="90">
        <f>Skötselplan!C156</f>
        <v>0</v>
      </c>
      <c r="LV2" s="90">
        <f>Skötselplan!A164</f>
        <v>0</v>
      </c>
      <c r="LW2" s="90">
        <f>Skötselplan!A165</f>
        <v>0</v>
      </c>
      <c r="LX2" s="90">
        <f>Skötselplan!C174</f>
        <v>0</v>
      </c>
      <c r="LY2" s="90">
        <f>Skötselplan!A175</f>
        <v>0</v>
      </c>
      <c r="LZ2" s="90">
        <f>Skötselplan!A256</f>
        <v>0</v>
      </c>
      <c r="MA2" s="90">
        <f>Skötselplan!A257</f>
        <v>0</v>
      </c>
      <c r="MB2" s="90">
        <f>Skötselplan!A258</f>
        <v>0</v>
      </c>
      <c r="MC2" s="90">
        <f>Skötselplan!A259</f>
        <v>0</v>
      </c>
      <c r="MD2" s="90">
        <f>Skötselplan!A340</f>
        <v>0</v>
      </c>
      <c r="ME2" s="90">
        <f>Skötselplan!A341</f>
        <v>0</v>
      </c>
      <c r="MF2" s="90"/>
      <c r="MG2" s="90"/>
      <c r="MH2" s="90">
        <f>Skötselplan!A353</f>
        <v>0</v>
      </c>
      <c r="MI2" s="90">
        <f>Skötselplan!A354</f>
        <v>0</v>
      </c>
      <c r="MJ2">
        <f>Skötselplan!A367</f>
        <v>0</v>
      </c>
      <c r="MK2">
        <f>Skötselplan!A375</f>
        <v>0</v>
      </c>
      <c r="ML2">
        <f>Skötselplan!D369</f>
        <v>0</v>
      </c>
      <c r="MM2">
        <f>Skötselplan!D370</f>
        <v>0</v>
      </c>
      <c r="MN2">
        <f>Skötselplan!A377</f>
        <v>0</v>
      </c>
      <c r="MO2">
        <f>Skötselplan!A378</f>
        <v>0</v>
      </c>
      <c r="MP2">
        <f>Skötselplan!A379</f>
        <v>0</v>
      </c>
    </row>
    <row r="3" spans="1:354" s="90" customForma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1"/>
  <dimension ref="A1:M210"/>
  <sheetViews>
    <sheetView topLeftCell="A118" zoomScale="85" zoomScaleNormal="85" zoomScalePageLayoutView="85" workbookViewId="0">
      <selection activeCell="A130" sqref="A130"/>
    </sheetView>
  </sheetViews>
  <sheetFormatPr defaultColWidth="9.140625" defaultRowHeight="12.75" x14ac:dyDescent="0.2"/>
  <cols>
    <col min="1" max="1" width="29.5703125" style="218" customWidth="1"/>
    <col min="2" max="6" width="14.7109375" style="218" customWidth="1"/>
    <col min="7" max="7" width="13.28515625" style="218" bestFit="1" customWidth="1"/>
    <col min="8" max="8" width="12.5703125" style="218" bestFit="1" customWidth="1"/>
    <col min="9" max="9" width="13.85546875" style="218" customWidth="1"/>
    <col min="10" max="10" width="9.140625" style="218" customWidth="1"/>
    <col min="11" max="11" width="11.140625" style="218" customWidth="1"/>
    <col min="12" max="12" width="9.140625" style="218" customWidth="1"/>
    <col min="13" max="13" width="103.140625" style="218" bestFit="1" customWidth="1"/>
    <col min="14" max="14" width="9.140625" style="218" customWidth="1"/>
    <col min="15" max="16384" width="9.140625" style="218"/>
  </cols>
  <sheetData>
    <row r="1" spans="1:13" customFormat="1" ht="20.25" customHeight="1" x14ac:dyDescent="0.3">
      <c r="A1" s="383" t="s">
        <v>1077</v>
      </c>
      <c r="B1" s="383"/>
      <c r="C1" s="383"/>
      <c r="D1" s="383"/>
      <c r="E1" s="221" t="str">
        <f>IF(Skötselplan!C1&gt;0,Skötselplan!C1,"")</f>
        <v>Halasjö ÄSO</v>
      </c>
      <c r="F1" s="219"/>
      <c r="M1" s="222" t="s">
        <v>1078</v>
      </c>
    </row>
    <row r="2" spans="1:13" x14ac:dyDescent="0.2">
      <c r="A2" s="219" t="s">
        <v>1079</v>
      </c>
    </row>
    <row r="4" spans="1:13" customFormat="1" ht="15" customHeight="1" x14ac:dyDescent="0.25">
      <c r="A4" s="92" t="s">
        <v>1080</v>
      </c>
      <c r="B4" s="96"/>
      <c r="C4" s="96"/>
      <c r="D4" s="96"/>
    </row>
    <row r="5" spans="1:13" x14ac:dyDescent="0.2">
      <c r="A5" s="132" t="s">
        <v>109</v>
      </c>
      <c r="B5" s="96"/>
      <c r="C5" s="96"/>
      <c r="D5" s="96"/>
    </row>
    <row r="6" spans="1:13" customFormat="1" ht="15" customHeight="1" x14ac:dyDescent="0.25">
      <c r="A6" s="65" t="s">
        <v>111</v>
      </c>
      <c r="B6" s="17">
        <f>Skötselplan!B84</f>
        <v>2021</v>
      </c>
      <c r="C6" s="17">
        <f>Skötselplan!C84</f>
        <v>2022</v>
      </c>
      <c r="D6" s="17">
        <f>Skötselplan!D84</f>
        <v>2023</v>
      </c>
      <c r="E6" s="17" t="s">
        <v>204</v>
      </c>
      <c r="M6" s="223" t="str">
        <f>Skötselplan!A80</f>
        <v>2.1 Uppgifter om älgstammen inom älgskötselområdet</v>
      </c>
    </row>
    <row r="7" spans="1:13" customFormat="1" ht="15" customHeight="1" x14ac:dyDescent="0.25">
      <c r="A7" s="81" t="s">
        <v>66</v>
      </c>
      <c r="B7" s="224">
        <f>Skötselplan!B85</f>
        <v>3</v>
      </c>
      <c r="C7" s="224">
        <f>Skötselplan!C85</f>
        <v>4</v>
      </c>
      <c r="D7" s="224">
        <f>Skötselplan!D85</f>
        <v>4</v>
      </c>
      <c r="E7" s="17">
        <f>SUM(B7:D7)</f>
        <v>11</v>
      </c>
    </row>
    <row r="8" spans="1:13" customFormat="1" ht="15" customHeight="1" x14ac:dyDescent="0.25">
      <c r="A8" s="81" t="s">
        <v>113</v>
      </c>
      <c r="B8" s="224">
        <f>Skötselplan!B86</f>
        <v>4</v>
      </c>
      <c r="C8" s="224">
        <f>Skötselplan!C86</f>
        <v>4</v>
      </c>
      <c r="D8" s="224">
        <f>Skötselplan!D86</f>
        <v>2</v>
      </c>
      <c r="E8" s="17">
        <f>SUM(B8:D8)</f>
        <v>10</v>
      </c>
    </row>
    <row r="9" spans="1:13" customFormat="1" ht="15" customHeight="1" x14ac:dyDescent="0.25">
      <c r="A9" s="81" t="s">
        <v>70</v>
      </c>
      <c r="B9" s="224">
        <f>Skötselplan!B87</f>
        <v>9</v>
      </c>
      <c r="C9" s="224">
        <f>Skötselplan!C87</f>
        <v>9</v>
      </c>
      <c r="D9" s="224">
        <f>Skötselplan!D87</f>
        <v>7</v>
      </c>
      <c r="E9" s="17">
        <f>SUM(B9:D9)</f>
        <v>25</v>
      </c>
    </row>
    <row r="10" spans="1:13" customFormat="1" ht="15" customHeight="1" x14ac:dyDescent="0.25">
      <c r="A10" s="81" t="s">
        <v>72</v>
      </c>
      <c r="B10" s="46">
        <f>IF(B7+B8+B9&gt;0,SUM(B7:B9),"")</f>
        <v>16</v>
      </c>
      <c r="C10" s="17">
        <f>IF(C7+C8+C9&gt;0,SUM(C7:C9),"")</f>
        <v>17</v>
      </c>
      <c r="D10" s="17">
        <f>IF(D7+D8+D9&gt;0,SUM(D7:D9),"")</f>
        <v>13</v>
      </c>
      <c r="E10" s="17">
        <f>SUM(B10:D10)</f>
        <v>46</v>
      </c>
    </row>
    <row r="11" spans="1:13" customFormat="1" ht="15" customHeight="1" x14ac:dyDescent="0.25">
      <c r="A11" s="81" t="s">
        <v>1081</v>
      </c>
      <c r="B11" s="225">
        <f>Skötselplan!B90</f>
        <v>14768</v>
      </c>
      <c r="C11" s="225">
        <f>Skötselplan!C90</f>
        <v>14979</v>
      </c>
      <c r="D11" s="225">
        <f>Skötselplan!D90</f>
        <v>15059</v>
      </c>
      <c r="E11" s="17" t="s">
        <v>1082</v>
      </c>
    </row>
    <row r="12" spans="1:13" customFormat="1" ht="15" customHeight="1" x14ac:dyDescent="0.25">
      <c r="A12" s="81" t="s">
        <v>115</v>
      </c>
      <c r="B12" s="44">
        <f>IF(B7+B8+B9&gt;0,B10/B11*1000,"")</f>
        <v>1.0834236186348862</v>
      </c>
      <c r="C12" s="44">
        <f>IF(C7+C8+C9&gt;0,C10/C11*1000,"")</f>
        <v>1.1349222244475599</v>
      </c>
      <c r="D12" s="44">
        <f>IF(D7+D8+D9&gt;0,D10/D11*1000,"")</f>
        <v>0.86327113354140383</v>
      </c>
      <c r="E12" s="44">
        <f>IF(E10&gt;0,AVERAGE(B12:D12),0)</f>
        <v>1.0272056588746166</v>
      </c>
    </row>
    <row r="13" spans="1:13" x14ac:dyDescent="0.2">
      <c r="A13" s="132" t="s">
        <v>1083</v>
      </c>
      <c r="B13" s="132"/>
      <c r="C13" s="96"/>
      <c r="D13" s="96"/>
      <c r="E13" s="96"/>
    </row>
    <row r="14" spans="1:13" customFormat="1" ht="15" customHeight="1" x14ac:dyDescent="0.25">
      <c r="A14" s="65" t="s">
        <v>111</v>
      </c>
      <c r="B14" s="17">
        <f>B6</f>
        <v>2021</v>
      </c>
      <c r="C14" s="17">
        <f>C6</f>
        <v>2022</v>
      </c>
      <c r="D14" s="17">
        <f>D6</f>
        <v>2023</v>
      </c>
    </row>
    <row r="15" spans="1:13" customFormat="1" ht="15" customHeight="1" x14ac:dyDescent="0.25">
      <c r="A15" s="81" t="s">
        <v>120</v>
      </c>
      <c r="B15" s="45">
        <f>IF(B7+B8&gt;0,B7/(B7+B8),"")</f>
        <v>0.42857142857142855</v>
      </c>
      <c r="C15" s="45">
        <f>IF(C7+C8&gt;0,C7/(C7+C8),"")</f>
        <v>0.5</v>
      </c>
      <c r="D15" s="45">
        <f>IF(D7+D8&gt;0,D7/(D7+D8),"")</f>
        <v>0.66666666666666663</v>
      </c>
    </row>
    <row r="16" spans="1:13" customFormat="1" ht="15" customHeight="1" x14ac:dyDescent="0.25">
      <c r="A16" s="81" t="s">
        <v>122</v>
      </c>
      <c r="B16" s="45">
        <f>IF(B9&gt;0,B9/B10,"")</f>
        <v>0.5625</v>
      </c>
      <c r="C16" s="45">
        <f>IF(C9&gt;0,C9/C10,"")</f>
        <v>0.52941176470588236</v>
      </c>
      <c r="D16" s="45">
        <f>IF(D9&gt;0,D9/D10,"")</f>
        <v>0.53846153846153844</v>
      </c>
    </row>
    <row r="18" spans="1:13" customFormat="1" ht="15" customHeight="1" x14ac:dyDescent="0.25">
      <c r="A18" s="92" t="s">
        <v>1084</v>
      </c>
    </row>
    <row r="19" spans="1:13" customFormat="1" ht="15" customHeight="1" x14ac:dyDescent="0.25">
      <c r="A19" s="65" t="s">
        <v>111</v>
      </c>
      <c r="B19" s="17">
        <f>Skötselplan!B281</f>
        <v>2021</v>
      </c>
      <c r="C19" s="17">
        <f>Skötselplan!C281</f>
        <v>2022</v>
      </c>
      <c r="D19" s="17">
        <f>Skötselplan!D281</f>
        <v>2023</v>
      </c>
      <c r="E19" s="17" t="s">
        <v>204</v>
      </c>
      <c r="F19" s="226">
        <f>COUNT(B19:D19)</f>
        <v>3</v>
      </c>
    </row>
    <row r="20" spans="1:13" customFormat="1" ht="15" customHeight="1" x14ac:dyDescent="0.25">
      <c r="A20" s="81" t="s">
        <v>232</v>
      </c>
      <c r="B20" s="224">
        <f>Skötselplan!B279</f>
        <v>3</v>
      </c>
      <c r="C20" s="224">
        <f>Skötselplan!C279</f>
        <v>7</v>
      </c>
      <c r="D20" s="224">
        <f>Skötselplan!D279</f>
        <v>2</v>
      </c>
      <c r="E20" s="17">
        <f>SUM(B20:D20)</f>
        <v>12</v>
      </c>
      <c r="M20" s="223" t="str">
        <f>Skötselplan!A271</f>
        <v xml:space="preserve">2.4 Redovisning av rapporterade viltolyckor med älg </v>
      </c>
    </row>
    <row r="21" spans="1:13" customFormat="1" ht="15" customHeight="1" x14ac:dyDescent="0.25">
      <c r="A21" s="81" t="s">
        <v>1085</v>
      </c>
      <c r="B21" s="224" t="str">
        <f>Skötselplan!F301</f>
        <v/>
      </c>
      <c r="C21" s="224" t="str">
        <f>Skötselplan!F301</f>
        <v/>
      </c>
      <c r="D21" s="224" t="str">
        <f>Skötselplan!F301</f>
        <v/>
      </c>
      <c r="E21" s="17">
        <f>SUM(B21:D21)</f>
        <v>0</v>
      </c>
      <c r="M21" s="223" t="str">
        <f>Skötselplan!A288</f>
        <v xml:space="preserve">2.6 Redovisning av rovdjursförekomst och predationstryck </v>
      </c>
    </row>
    <row r="22" spans="1:13" customFormat="1" ht="15" customHeight="1" x14ac:dyDescent="0.25">
      <c r="A22" s="81" t="s">
        <v>233</v>
      </c>
      <c r="B22" s="224" t="str">
        <f>Skötselplan!B286</f>
        <v/>
      </c>
      <c r="C22" s="224">
        <f>Skötselplan!C286</f>
        <v>3</v>
      </c>
      <c r="D22" s="224">
        <f>Skötselplan!D286</f>
        <v>3</v>
      </c>
      <c r="E22" s="17">
        <f>SUM(B22:D22)</f>
        <v>6</v>
      </c>
      <c r="M22" s="223" t="str">
        <f>Skötselplan!A280</f>
        <v>2.5 Övrig dödlighet</v>
      </c>
    </row>
    <row r="23" spans="1:13" customFormat="1" ht="15" customHeight="1" x14ac:dyDescent="0.25">
      <c r="A23" s="81" t="s">
        <v>1086</v>
      </c>
      <c r="B23" s="46">
        <f>IF(SUM(B20:B22)&gt;0,SUM(B20:B22),"")</f>
        <v>3</v>
      </c>
      <c r="C23" s="46">
        <f>IF(SUM(C20:C22)&gt;0,SUM(C20:C22),"")</f>
        <v>10</v>
      </c>
      <c r="D23" s="46">
        <f>IF(SUM(D20:D22)&gt;0,SUM(D20:D22),"")</f>
        <v>5</v>
      </c>
      <c r="E23" s="17">
        <f>SUM(B23:D23)</f>
        <v>18</v>
      </c>
    </row>
    <row r="24" spans="1:13" x14ac:dyDescent="0.2">
      <c r="A24" s="47" t="s">
        <v>1087</v>
      </c>
    </row>
    <row r="25" spans="1:13" customFormat="1" ht="15" customHeight="1" x14ac:dyDescent="0.25">
      <c r="A25" s="92" t="s">
        <v>1088</v>
      </c>
    </row>
    <row r="26" spans="1:13" customFormat="1" ht="15" customHeight="1" x14ac:dyDescent="0.25">
      <c r="A26" s="92"/>
    </row>
    <row r="27" spans="1:13" customFormat="1" ht="15" customHeight="1" x14ac:dyDescent="0.25">
      <c r="A27" s="92" t="s">
        <v>378</v>
      </c>
    </row>
    <row r="28" spans="1:13" x14ac:dyDescent="0.2">
      <c r="A28" s="132" t="s">
        <v>125</v>
      </c>
      <c r="B28" s="96"/>
      <c r="C28" s="96"/>
      <c r="D28" s="96"/>
      <c r="E28" s="96"/>
    </row>
    <row r="29" spans="1:13" customFormat="1" ht="15" customHeight="1" x14ac:dyDescent="0.25">
      <c r="A29" s="65" t="s">
        <v>111</v>
      </c>
      <c r="B29" s="17">
        <f>Skötselplan!B101</f>
        <v>2020</v>
      </c>
      <c r="C29" s="17">
        <f>Skötselplan!C101</f>
        <v>2021</v>
      </c>
      <c r="D29" s="17">
        <f>Skötselplan!D101</f>
        <v>2022</v>
      </c>
      <c r="E29" s="17">
        <f>Skötselplan!E101</f>
        <v>2023</v>
      </c>
      <c r="F29" s="17" t="s">
        <v>218</v>
      </c>
      <c r="G29" s="226">
        <f>COUNT(B29:E29)</f>
        <v>4</v>
      </c>
      <c r="M29" s="223" t="str">
        <f>Skötselplan!A99</f>
        <v xml:space="preserve">2.1.2 Älgobservationer (älgobs) </v>
      </c>
    </row>
    <row r="30" spans="1:13" customFormat="1" ht="14.45" customHeight="1" x14ac:dyDescent="0.25">
      <c r="A30" s="81" t="s">
        <v>1089</v>
      </c>
      <c r="B30" s="227">
        <f>Skötselplan!B103</f>
        <v>3.9E-2</v>
      </c>
      <c r="C30" s="227">
        <f>Skötselplan!C103</f>
        <v>4.3999999999999997E-2</v>
      </c>
      <c r="D30" s="227">
        <f>Skötselplan!D103</f>
        <v>3.9E-2</v>
      </c>
      <c r="E30" s="227">
        <f>Skötselplan!E103</f>
        <v>3.1E-2</v>
      </c>
      <c r="F30" s="17">
        <f>IF((B30+C30+D30+E30)&gt;0,G30/G$29,0)</f>
        <v>3.8249999999999999E-2</v>
      </c>
      <c r="G30" s="228">
        <f>SUM(B30:E30)</f>
        <v>0.153</v>
      </c>
    </row>
    <row r="31" spans="1:13" customFormat="1" ht="14.45" customHeight="1" x14ac:dyDescent="0.25">
      <c r="A31" s="81" t="s">
        <v>1090</v>
      </c>
      <c r="B31" s="229">
        <f>Skötselplan!B104</f>
        <v>0.48199999999999998</v>
      </c>
      <c r="C31" s="229">
        <f>Skötselplan!C104</f>
        <v>0.95499999999999996</v>
      </c>
      <c r="D31" s="229">
        <f>Skötselplan!D104</f>
        <v>0.61</v>
      </c>
      <c r="E31" s="229">
        <f>Skötselplan!E104</f>
        <v>0.53</v>
      </c>
      <c r="F31" s="17">
        <f>IF((B31+C31+D31+E31)&gt;0,G31/G$29,0)</f>
        <v>0.64424999999999999</v>
      </c>
      <c r="G31" s="228">
        <f>SUM(B31:E31)</f>
        <v>2.577</v>
      </c>
    </row>
    <row r="32" spans="1:13" customFormat="1" ht="14.45" customHeight="1" x14ac:dyDescent="0.25">
      <c r="A32" s="81" t="s">
        <v>1091</v>
      </c>
      <c r="B32" s="230">
        <f>Skötselplan!B105</f>
        <v>0.31</v>
      </c>
      <c r="C32" s="230">
        <f>Skötselplan!C105</f>
        <v>0.39</v>
      </c>
      <c r="D32" s="230">
        <f>Skötselplan!D105</f>
        <v>0.48</v>
      </c>
      <c r="E32" s="230">
        <f>Skötselplan!E105</f>
        <v>0.36</v>
      </c>
      <c r="F32" s="45">
        <f>IF((B32+C32+D32+E32)&gt;0,G32/G$29,0)</f>
        <v>0.38500000000000001</v>
      </c>
      <c r="G32" s="228">
        <f>SUM(B32:E32)</f>
        <v>1.54</v>
      </c>
    </row>
    <row r="33" spans="1:13" customFormat="1" ht="15" customHeight="1" x14ac:dyDescent="0.25">
      <c r="A33" s="96" t="s">
        <v>1092</v>
      </c>
      <c r="B33" s="208"/>
      <c r="C33" s="208"/>
      <c r="D33" s="208"/>
      <c r="E33" s="208"/>
      <c r="F33" s="208"/>
    </row>
    <row r="35" spans="1:13" customFormat="1" ht="14.45" customHeight="1" x14ac:dyDescent="0.25">
      <c r="A35" s="92" t="s">
        <v>1093</v>
      </c>
      <c r="B35" s="96"/>
      <c r="C35" s="96"/>
      <c r="D35" s="96"/>
      <c r="E35" s="96"/>
    </row>
    <row r="36" spans="1:13" customFormat="1" ht="30" customHeight="1" x14ac:dyDescent="0.25">
      <c r="A36" s="65" t="s">
        <v>111</v>
      </c>
      <c r="B36" s="17">
        <f>IF(B37&gt;0,Skötselplan!D111,"")</f>
        <v>2021</v>
      </c>
      <c r="C36" s="17">
        <f>IF(C37&gt;0,Skötselplan!E111,"")</f>
        <v>2022</v>
      </c>
      <c r="D36" s="17">
        <f>IF(D37&gt;0,Skötselplan!F111,"")</f>
        <v>2023</v>
      </c>
      <c r="E36" s="17">
        <f>IF(E37&gt;0,Skötselplan!G111,"")</f>
        <v>2024</v>
      </c>
      <c r="F36" s="48" t="s">
        <v>1094</v>
      </c>
      <c r="G36" s="226">
        <f>COUNT(C36:E36)</f>
        <v>3</v>
      </c>
      <c r="M36" s="223" t="str">
        <f>Skötselplan!A110</f>
        <v xml:space="preserve">2.1.3 Spillningsinventering </v>
      </c>
    </row>
    <row r="37" spans="1:13" customFormat="1" ht="15" customHeight="1" x14ac:dyDescent="0.25">
      <c r="A37" s="81" t="s">
        <v>1095</v>
      </c>
      <c r="B37" s="231">
        <f>IF(Skötselplan!D112&gt;0,Skötselplan!D119,Skötselplan!D120)</f>
        <v>2.675418257054186</v>
      </c>
      <c r="C37" s="231">
        <f>IF(Skötselplan!E112&gt;0,Skötselplan!E119,Skötselplan!E120)</f>
        <v>1.8068969255648812</v>
      </c>
      <c r="D37" s="231">
        <f>IF(Skötselplan!F112&gt;0,Skötselplan!F119,Skötselplan!F120)</f>
        <v>1.5003610243714893</v>
      </c>
      <c r="E37" s="231">
        <f>IF(Skötselplan!G112&gt;0,Skötselplan!G119,Skötselplan!G120)</f>
        <v>1.6399088210695485</v>
      </c>
      <c r="F37" s="44">
        <f>IF(G36&gt;0,G37/G36,0)</f>
        <v>1.6490555903353064</v>
      </c>
      <c r="G37" s="228">
        <f>SUM(C37:E37)</f>
        <v>4.9471667710059188</v>
      </c>
    </row>
    <row r="38" spans="1:13" customFormat="1" ht="15" customHeight="1" x14ac:dyDescent="0.25">
      <c r="A38" s="96" t="s">
        <v>1096</v>
      </c>
      <c r="B38" s="208"/>
      <c r="C38" s="208"/>
      <c r="D38" s="208"/>
      <c r="E38" s="208"/>
      <c r="F38" s="208"/>
    </row>
    <row r="39" spans="1:13" customFormat="1" ht="15" customHeight="1" x14ac:dyDescent="0.25">
      <c r="A39" s="96"/>
      <c r="B39" s="208"/>
      <c r="C39" s="208"/>
      <c r="D39" s="208"/>
      <c r="E39" s="208"/>
      <c r="F39" s="208"/>
    </row>
    <row r="40" spans="1:13" customFormat="1" ht="15" customHeight="1" x14ac:dyDescent="0.25">
      <c r="A40" s="92" t="s">
        <v>1097</v>
      </c>
      <c r="B40" s="96"/>
      <c r="C40" s="96"/>
      <c r="D40" s="96"/>
      <c r="E40" s="96"/>
    </row>
    <row r="41" spans="1:13" customFormat="1" ht="15" customHeight="1" x14ac:dyDescent="0.25">
      <c r="A41" s="65" t="s">
        <v>111</v>
      </c>
      <c r="B41" s="227" t="str">
        <f>IF(Skötselplan!B168&gt;0,Skötselplan!B168,"")</f>
        <v/>
      </c>
      <c r="C41" s="227" t="str">
        <f>IF(Skötselplan!C168&gt;0,Skötselplan!C168,"")</f>
        <v/>
      </c>
      <c r="D41" s="227" t="str">
        <f>IF(Skötselplan!D168&gt;0,Skötselplan!D168,"")</f>
        <v/>
      </c>
    </row>
    <row r="42" spans="1:13" customFormat="1" ht="15" customHeight="1" x14ac:dyDescent="0.25">
      <c r="A42" s="81" t="s">
        <v>1095</v>
      </c>
      <c r="B42" s="231" t="str">
        <f>IF(Skötselplan!B172&gt;0,Skötselplan!B172,"")</f>
        <v/>
      </c>
      <c r="C42" s="231" t="str">
        <f>IF(Skötselplan!C172&gt;0,Skötselplan!C172,"")</f>
        <v/>
      </c>
      <c r="D42" s="231" t="str">
        <f>IF(Skötselplan!D172&gt;0,Skötselplan!D172,"")</f>
        <v/>
      </c>
    </row>
    <row r="43" spans="1:13" customFormat="1" ht="15" customHeight="1" x14ac:dyDescent="0.25">
      <c r="A43" s="96" t="s">
        <v>1096</v>
      </c>
      <c r="B43" s="208"/>
      <c r="C43" s="208"/>
      <c r="D43" s="208"/>
      <c r="E43" s="208"/>
      <c r="F43" s="208"/>
    </row>
    <row r="44" spans="1:13" customFormat="1" ht="21" customHeight="1" x14ac:dyDescent="0.25">
      <c r="A44" s="132" t="s">
        <v>1098</v>
      </c>
      <c r="B44" s="208"/>
      <c r="C44" s="208"/>
      <c r="D44" s="92"/>
      <c r="E44" s="96"/>
    </row>
    <row r="45" spans="1:13" customFormat="1" ht="21" customHeight="1" x14ac:dyDescent="0.25">
      <c r="A45" s="382"/>
      <c r="B45" s="382"/>
      <c r="C45" s="382"/>
      <c r="D45" s="382"/>
      <c r="E45" s="382"/>
    </row>
    <row r="46" spans="1:13" customFormat="1" ht="15" customHeight="1" x14ac:dyDescent="0.25">
      <c r="A46" s="96"/>
      <c r="B46" s="208"/>
      <c r="C46" s="208"/>
      <c r="D46" s="208"/>
      <c r="E46" s="208"/>
      <c r="F46" s="208"/>
    </row>
    <row r="47" spans="1:13" customFormat="1" ht="20.25" customHeight="1" x14ac:dyDescent="0.3">
      <c r="A47" s="221" t="s">
        <v>1099</v>
      </c>
    </row>
    <row r="49" spans="1:1" x14ac:dyDescent="0.2">
      <c r="A49" s="219" t="s">
        <v>1100</v>
      </c>
    </row>
    <row r="76" spans="1:13" customFormat="1" ht="21" customHeight="1" x14ac:dyDescent="0.25">
      <c r="A76" s="232" t="s">
        <v>1101</v>
      </c>
      <c r="B76" s="227">
        <f>Skötselplan!F182</f>
        <v>1.6</v>
      </c>
      <c r="C76" s="219" t="s">
        <v>1102</v>
      </c>
      <c r="D76" s="219"/>
      <c r="E76" s="219"/>
      <c r="F76" s="219"/>
      <c r="M76" s="223" t="str">
        <f>Skötselplan!A177</f>
        <v xml:space="preserve">2.1.9 Bedömning av den nuvarande älgstammen inom älgskötselområdet </v>
      </c>
    </row>
    <row r="77" spans="1:13" customFormat="1" ht="21" customHeight="1" x14ac:dyDescent="0.25">
      <c r="A77" s="132" t="s">
        <v>1103</v>
      </c>
      <c r="B77" s="208"/>
      <c r="C77" s="208"/>
      <c r="D77" s="92"/>
      <c r="E77" s="96"/>
    </row>
    <row r="78" spans="1:13" customFormat="1" ht="21" customHeight="1" x14ac:dyDescent="0.25">
      <c r="A78" s="382"/>
      <c r="B78" s="382"/>
      <c r="C78" s="382"/>
      <c r="D78" s="382"/>
      <c r="E78" s="382"/>
    </row>
    <row r="81" spans="1:1" customFormat="1" ht="20.25" customHeight="1" x14ac:dyDescent="0.3">
      <c r="A81" s="221" t="s">
        <v>1104</v>
      </c>
    </row>
    <row r="83" spans="1:1" x14ac:dyDescent="0.2">
      <c r="A83" s="219" t="s">
        <v>1105</v>
      </c>
    </row>
    <row r="97" spans="1:13" customFormat="1" ht="21" customHeight="1" x14ac:dyDescent="0.25">
      <c r="A97" s="232" t="s">
        <v>1106</v>
      </c>
      <c r="B97" s="219"/>
    </row>
    <row r="99" spans="1:13" customFormat="1" ht="15" customHeight="1" x14ac:dyDescent="0.25">
      <c r="A99" s="17">
        <f>IF(Skötselplan!C$9&gt;0,Skötselplan!C$9,"")</f>
        <v>2024</v>
      </c>
      <c r="B99" s="233">
        <v>0.8</v>
      </c>
      <c r="C99" s="219" t="s">
        <v>1107</v>
      </c>
      <c r="D99" s="219"/>
      <c r="M99" s="234" t="s">
        <v>1108</v>
      </c>
    </row>
    <row r="100" spans="1:13" customFormat="1" ht="15" customHeight="1" x14ac:dyDescent="0.25">
      <c r="A100" s="17">
        <f>IF(Skötselplan!C$9&gt;0,Skötselplan!C$9+1,"")</f>
        <v>2025</v>
      </c>
      <c r="B100" s="233">
        <v>0.8</v>
      </c>
      <c r="C100" s="219" t="s">
        <v>1107</v>
      </c>
    </row>
    <row r="101" spans="1:13" customFormat="1" ht="15" customHeight="1" x14ac:dyDescent="0.25">
      <c r="A101" s="17">
        <f>IF(Skötselplan!C$9&gt;0,Skötselplan!C$9+2,"")</f>
        <v>2026</v>
      </c>
      <c r="B101" s="233">
        <v>0.8</v>
      </c>
      <c r="C101" s="219" t="s">
        <v>1107</v>
      </c>
    </row>
    <row r="102" spans="1:13" customFormat="1" ht="15" customHeight="1" x14ac:dyDescent="0.25">
      <c r="A102" s="17">
        <f>IF(Skötselplan!C$9&gt;0,Skötselplan!C$9+3,"")</f>
        <v>2027</v>
      </c>
      <c r="B102" s="233">
        <v>0.8</v>
      </c>
      <c r="C102" s="219" t="s">
        <v>1107</v>
      </c>
    </row>
    <row r="104" spans="1:13" customFormat="1" ht="21" customHeight="1" x14ac:dyDescent="0.25">
      <c r="A104" s="132" t="s">
        <v>1103</v>
      </c>
      <c r="B104" s="208"/>
      <c r="C104" s="208"/>
      <c r="D104" s="92"/>
      <c r="E104" s="96"/>
    </row>
    <row r="105" spans="1:13" customFormat="1" ht="21" customHeight="1" x14ac:dyDescent="0.25">
      <c r="A105" s="382"/>
      <c r="B105" s="382"/>
      <c r="C105" s="382"/>
      <c r="D105" s="382"/>
      <c r="E105" s="382"/>
    </row>
    <row r="108" spans="1:13" customFormat="1" ht="20.25" customHeight="1" x14ac:dyDescent="0.3">
      <c r="A108" s="221" t="s">
        <v>1109</v>
      </c>
    </row>
    <row r="110" spans="1:13" x14ac:dyDescent="0.2">
      <c r="A110" s="219" t="s">
        <v>1110</v>
      </c>
    </row>
    <row r="123" spans="1:13" s="264" customFormat="1" ht="25.5" customHeight="1" x14ac:dyDescent="0.2">
      <c r="A123" s="232" t="s">
        <v>1111</v>
      </c>
      <c r="D123" s="232" t="s">
        <v>1112</v>
      </c>
      <c r="E123" s="232" t="s">
        <v>1113</v>
      </c>
      <c r="F123" s="232" t="s">
        <v>1114</v>
      </c>
      <c r="G123" s="235" t="s">
        <v>1202</v>
      </c>
      <c r="M123" s="236" t="s">
        <v>1115</v>
      </c>
    </row>
    <row r="124" spans="1:13" x14ac:dyDescent="0.2">
      <c r="A124" s="219" t="s">
        <v>66</v>
      </c>
      <c r="B124" s="237">
        <f>IF(C127&gt;0,C124/C127,0)</f>
        <v>0.27574574451798661</v>
      </c>
      <c r="C124" s="226">
        <f>IF(F$32&gt;0,F$32,"")</f>
        <v>0.38500000000000001</v>
      </c>
      <c r="D124" s="238">
        <f>D$127*B124</f>
        <v>0.56639379806367152</v>
      </c>
      <c r="E124" s="238">
        <f>$E$127*B130</f>
        <v>0.13970574127570146</v>
      </c>
      <c r="F124" s="238">
        <f>D124-E124</f>
        <v>0.42668805678797006</v>
      </c>
      <c r="G124" s="239">
        <f>IF(F124&gt;0,F124/$F$127,0)</f>
        <v>0.26668003549248126</v>
      </c>
    </row>
    <row r="125" spans="1:13" x14ac:dyDescent="0.2">
      <c r="A125" s="219" t="s">
        <v>203</v>
      </c>
      <c r="B125" s="237">
        <f>IF(C127&gt;0,C125/C127,0)</f>
        <v>0.4404769685157448</v>
      </c>
      <c r="C125" s="226">
        <f>IF(F$32&gt;0,1-F$32,"")</f>
        <v>0.61499999999999999</v>
      </c>
      <c r="D125" s="238">
        <f>D$127*B125</f>
        <v>0.904758924179631</v>
      </c>
      <c r="E125" s="238">
        <f>$E$127*B131</f>
        <v>6.9852870637850728E-2</v>
      </c>
      <c r="F125" s="238">
        <f>D125-E125</f>
        <v>0.83490605354178027</v>
      </c>
      <c r="G125" s="239">
        <f>IF(F125&gt;0,F125/$F$127,0)</f>
        <v>0.52181628346361264</v>
      </c>
    </row>
    <row r="126" spans="1:13" x14ac:dyDescent="0.2">
      <c r="A126" s="219" t="s">
        <v>70</v>
      </c>
      <c r="B126" s="237">
        <f>IF(C127&gt;0,C126/C127,0)</f>
        <v>0.28377728696626858</v>
      </c>
      <c r="C126" s="226">
        <f>IF(F$32&gt;0,C125*F31,"")</f>
        <v>0.39621374999999998</v>
      </c>
      <c r="D126" s="66">
        <f>D$127*B126</f>
        <v>0.58289093690272731</v>
      </c>
      <c r="E126" s="66">
        <f>$E$127*B132</f>
        <v>0.24448504723247755</v>
      </c>
      <c r="F126" s="66">
        <f>D126-E126</f>
        <v>0.33840588967024976</v>
      </c>
      <c r="G126" s="67">
        <f>IF(F126&gt;0,F126/$F$127,0)</f>
        <v>0.2115036810439061</v>
      </c>
    </row>
    <row r="127" spans="1:13" x14ac:dyDescent="0.2">
      <c r="A127" s="219" t="s">
        <v>204</v>
      </c>
      <c r="B127" s="237">
        <f>SUM(B124:B126)</f>
        <v>1</v>
      </c>
      <c r="C127" s="226">
        <f>SUM(C124:C126)</f>
        <v>1.39621375</v>
      </c>
      <c r="D127" s="238">
        <f>(1+$B$129)*Skötselplan!F182</f>
        <v>2.0540436591460298</v>
      </c>
      <c r="E127" s="238">
        <f>B76*B129</f>
        <v>0.45404365914602973</v>
      </c>
      <c r="F127" s="238">
        <f>SUM(F124:F126)</f>
        <v>1.6</v>
      </c>
      <c r="G127" s="239">
        <f>IF(F127&gt;0,F127/$F$127,0)</f>
        <v>1</v>
      </c>
    </row>
    <row r="128" spans="1:13" x14ac:dyDescent="0.2">
      <c r="A128" s="232" t="s">
        <v>1114</v>
      </c>
      <c r="C128" s="237"/>
      <c r="E128" s="240"/>
      <c r="F128" s="240"/>
      <c r="G128" s="240"/>
      <c r="H128" s="240"/>
    </row>
    <row r="129" spans="1:13" x14ac:dyDescent="0.2">
      <c r="A129" s="219" t="s">
        <v>1205</v>
      </c>
      <c r="B129" s="241">
        <f>B126</f>
        <v>0.28377728696626858</v>
      </c>
      <c r="C129" s="237"/>
      <c r="D129" s="219" t="s">
        <v>1204</v>
      </c>
      <c r="M129" s="234" t="s">
        <v>1116</v>
      </c>
    </row>
    <row r="130" spans="1:13" x14ac:dyDescent="0.2">
      <c r="A130" s="219" t="s">
        <v>1117</v>
      </c>
      <c r="B130" s="237">
        <f>IF(D7&gt;0,D7/D10,0)</f>
        <v>0.30769230769230771</v>
      </c>
      <c r="D130" s="219" t="s">
        <v>1203</v>
      </c>
    </row>
    <row r="131" spans="1:13" x14ac:dyDescent="0.2">
      <c r="A131" s="219" t="s">
        <v>1118</v>
      </c>
      <c r="B131" s="237">
        <f>IF(D8&gt;0,D8/D10,0)</f>
        <v>0.15384615384615385</v>
      </c>
    </row>
    <row r="132" spans="1:13" x14ac:dyDescent="0.2">
      <c r="A132" s="219" t="s">
        <v>1119</v>
      </c>
      <c r="B132" s="237">
        <f>IF(D9&gt;0,D9/D10,0)</f>
        <v>0.53846153846153844</v>
      </c>
    </row>
    <row r="134" spans="1:13" customFormat="1" ht="21" customHeight="1" x14ac:dyDescent="0.25">
      <c r="A134" s="232" t="s">
        <v>1120</v>
      </c>
      <c r="M134" s="242" t="str">
        <f>Skötselplan!A177</f>
        <v xml:space="preserve">2.1.9 Bedömning av den nuvarande älgstammen inom älgskötselområdet </v>
      </c>
    </row>
    <row r="136" spans="1:13" customFormat="1" ht="15" customHeight="1" x14ac:dyDescent="0.25">
      <c r="A136" s="219" t="s">
        <v>66</v>
      </c>
      <c r="B136" s="230">
        <f>Skötselplan!C187</f>
        <v>0.26668003549248126</v>
      </c>
      <c r="C136" s="237"/>
      <c r="D136" s="219"/>
    </row>
    <row r="137" spans="1:13" customFormat="1" ht="15" customHeight="1" x14ac:dyDescent="0.25">
      <c r="A137" s="219" t="s">
        <v>203</v>
      </c>
      <c r="B137" s="230">
        <f>Skötselplan!C188</f>
        <v>0.52181628346361264</v>
      </c>
      <c r="C137" s="237"/>
      <c r="D137" s="219"/>
    </row>
    <row r="138" spans="1:13" customFormat="1" ht="15" customHeight="1" x14ac:dyDescent="0.25">
      <c r="A138" s="219" t="s">
        <v>70</v>
      </c>
      <c r="B138" s="230">
        <f>Skötselplan!C189</f>
        <v>0.2115036810439061</v>
      </c>
      <c r="C138" s="237"/>
      <c r="D138" s="219"/>
    </row>
    <row r="139" spans="1:13" customFormat="1" ht="15" customHeight="1" x14ac:dyDescent="0.25">
      <c r="A139" s="219" t="s">
        <v>204</v>
      </c>
      <c r="B139" s="45">
        <f>SUM(B136:B138)</f>
        <v>1</v>
      </c>
      <c r="C139" s="237"/>
    </row>
    <row r="141" spans="1:13" customFormat="1" ht="21" customHeight="1" x14ac:dyDescent="0.25">
      <c r="A141" s="132" t="s">
        <v>1103</v>
      </c>
      <c r="B141" s="208"/>
      <c r="C141" s="208"/>
      <c r="D141" s="92"/>
      <c r="E141" s="96"/>
    </row>
    <row r="142" spans="1:13" customFormat="1" ht="21" customHeight="1" x14ac:dyDescent="0.25">
      <c r="A142" s="382"/>
      <c r="B142" s="382"/>
      <c r="C142" s="382"/>
      <c r="D142" s="382"/>
      <c r="E142" s="382"/>
    </row>
    <row r="144" spans="1:13" customFormat="1" ht="20.25" customHeight="1" x14ac:dyDescent="0.3">
      <c r="A144" s="221" t="s">
        <v>1121</v>
      </c>
    </row>
    <row r="145" spans="1:13" customFormat="1" ht="15.75" customHeight="1" x14ac:dyDescent="0.25">
      <c r="A145" s="243" t="s">
        <v>1122</v>
      </c>
      <c r="M145" s="223" t="str">
        <f>Skötselplan!A271&amp;Skötselplan!A280</f>
        <v>2.4 Redovisning av rapporterade viltolyckor med älg 2.5 Övrig dödlighet</v>
      </c>
    </row>
    <row r="146" spans="1:13" customFormat="1" ht="38.25" customHeight="1" x14ac:dyDescent="0.25">
      <c r="A146" s="219"/>
      <c r="C146" s="244" t="s">
        <v>1101</v>
      </c>
      <c r="D146" s="244" t="s">
        <v>1123</v>
      </c>
      <c r="E146" s="244" t="s">
        <v>1124</v>
      </c>
      <c r="F146" s="244" t="s">
        <v>1125</v>
      </c>
      <c r="G146" s="244" t="s">
        <v>1126</v>
      </c>
      <c r="H146" s="244" t="s">
        <v>1127</v>
      </c>
      <c r="I146" s="244" t="s">
        <v>1128</v>
      </c>
      <c r="M146" s="234" t="s">
        <v>1129</v>
      </c>
    </row>
    <row r="147" spans="1:13" x14ac:dyDescent="0.2">
      <c r="A147" s="219" t="s">
        <v>1130</v>
      </c>
      <c r="B147" s="237"/>
      <c r="C147" s="245">
        <f>B76</f>
        <v>1.6</v>
      </c>
      <c r="D147" s="246">
        <f>B163</f>
        <v>14826</v>
      </c>
      <c r="E147" s="246">
        <f>C147*D147/1000</f>
        <v>23.721600000000002</v>
      </c>
      <c r="F147" s="247">
        <v>1.4</v>
      </c>
      <c r="G147" s="246">
        <f>E147*F147</f>
        <v>33.210239999999999</v>
      </c>
      <c r="H147" s="248">
        <f>IF(G147&gt;0,(E20+E22)/F19,"")</f>
        <v>6</v>
      </c>
      <c r="I147" s="249">
        <f>IF(G147&gt;0,H147/G147,"")</f>
        <v>0.18066716771694513</v>
      </c>
      <c r="M147" s="234" t="s">
        <v>1131</v>
      </c>
    </row>
    <row r="149" spans="1:13" customFormat="1" ht="21" customHeight="1" x14ac:dyDescent="0.25">
      <c r="A149" s="232" t="s">
        <v>1132</v>
      </c>
      <c r="B149" s="219"/>
      <c r="C149" s="219"/>
      <c r="D149" s="219"/>
      <c r="F149" s="219"/>
      <c r="I149" s="219"/>
    </row>
    <row r="151" spans="1:13" customFormat="1" ht="15" customHeight="1" x14ac:dyDescent="0.25">
      <c r="A151" s="17">
        <f>IF(Skötselplan!C$9&gt;0,Skötselplan!C$9,"")</f>
        <v>2024</v>
      </c>
      <c r="B151" s="250">
        <v>0.04</v>
      </c>
      <c r="C151" s="219"/>
      <c r="D151" s="219"/>
      <c r="F151" s="219"/>
      <c r="M151" s="234" t="s">
        <v>1133</v>
      </c>
    </row>
    <row r="152" spans="1:13" customFormat="1" ht="15" customHeight="1" x14ac:dyDescent="0.25">
      <c r="A152" s="17">
        <f>IF(Skötselplan!C$9&gt;0,Skötselplan!C$9+1,"")</f>
        <v>2025</v>
      </c>
      <c r="B152" s="250">
        <v>0.04</v>
      </c>
    </row>
    <row r="153" spans="1:13" customFormat="1" ht="15" customHeight="1" x14ac:dyDescent="0.25">
      <c r="A153" s="17">
        <f>IF(Skötselplan!C$9&gt;0,Skötselplan!C$9+2,"")</f>
        <v>2026</v>
      </c>
      <c r="B153" s="250">
        <v>0.04</v>
      </c>
    </row>
    <row r="154" spans="1:13" customFormat="1" ht="15" customHeight="1" x14ac:dyDescent="0.25">
      <c r="A154" s="17">
        <f>IF(Skötselplan!C$9&gt;0,Skötselplan!C$9+3,"")</f>
        <v>2027</v>
      </c>
      <c r="B154" s="250">
        <v>0.04</v>
      </c>
    </row>
    <row r="156" spans="1:13" customFormat="1" ht="15" customHeight="1" x14ac:dyDescent="0.25">
      <c r="A156" s="132" t="s">
        <v>1103</v>
      </c>
      <c r="B156" s="208"/>
      <c r="C156" s="208"/>
      <c r="D156" s="92"/>
      <c r="E156" s="96"/>
    </row>
    <row r="157" spans="1:13" customFormat="1" ht="15" customHeight="1" x14ac:dyDescent="0.25">
      <c r="A157" s="382"/>
      <c r="B157" s="382"/>
      <c r="C157" s="382"/>
      <c r="D157" s="382"/>
      <c r="E157" s="382"/>
    </row>
    <row r="158" spans="1:13" customFormat="1" ht="15" customHeight="1" x14ac:dyDescent="0.25">
      <c r="A158" s="251"/>
      <c r="B158" s="251"/>
      <c r="C158" s="251"/>
      <c r="D158" s="251"/>
      <c r="E158" s="251"/>
    </row>
    <row r="160" spans="1:13" customFormat="1" ht="20.25" customHeight="1" x14ac:dyDescent="0.3">
      <c r="A160" s="221" t="s">
        <v>1134</v>
      </c>
      <c r="C160" s="221" t="str">
        <f>IF(Skötselplan!C1&gt;0,Skötselplan!C1,"")</f>
        <v>Halasjö ÄSO</v>
      </c>
      <c r="H160" s="252" t="s">
        <v>1135</v>
      </c>
      <c r="I160" s="221">
        <f>D163</f>
        <v>2024</v>
      </c>
      <c r="J160" s="253" t="s">
        <v>1136</v>
      </c>
      <c r="K160" s="221">
        <f>IF(Skötselplan!E9&gt;0,Skötselplan!E9,"")</f>
        <v>2026</v>
      </c>
    </row>
    <row r="162" spans="1:13" x14ac:dyDescent="0.2">
      <c r="D162" s="254" t="s">
        <v>1137</v>
      </c>
      <c r="E162" s="254" t="s">
        <v>1138</v>
      </c>
      <c r="F162" s="254" t="s">
        <v>1139</v>
      </c>
    </row>
    <row r="163" spans="1:13" x14ac:dyDescent="0.2">
      <c r="A163" s="232" t="s">
        <v>1123</v>
      </c>
      <c r="B163" s="255">
        <f>Skötselplan!C12</f>
        <v>14826</v>
      </c>
      <c r="C163" s="219" t="s">
        <v>1140</v>
      </c>
      <c r="D163" s="256">
        <f>A151</f>
        <v>2024</v>
      </c>
      <c r="E163" s="238">
        <f>B99</f>
        <v>0.8</v>
      </c>
      <c r="F163" s="239">
        <f>B151</f>
        <v>0.04</v>
      </c>
      <c r="M163" s="223">
        <f>Skötselplan!A2</f>
        <v>0</v>
      </c>
    </row>
    <row r="164" spans="1:13" x14ac:dyDescent="0.2">
      <c r="A164" s="232" t="s">
        <v>1141</v>
      </c>
      <c r="B164" s="257">
        <f>B76</f>
        <v>1.6</v>
      </c>
      <c r="C164" s="219" t="s">
        <v>1142</v>
      </c>
      <c r="D164" s="256">
        <f>A152</f>
        <v>2025</v>
      </c>
      <c r="E164" s="238">
        <f>B100</f>
        <v>0.8</v>
      </c>
      <c r="F164" s="239">
        <f>B152</f>
        <v>0.04</v>
      </c>
      <c r="M164" s="223" t="str">
        <f>Skötselplan!A177</f>
        <v xml:space="preserve">2.1.9 Bedömning av den nuvarande älgstammen inom älgskötselområdet </v>
      </c>
    </row>
    <row r="165" spans="1:13" customFormat="1" ht="15" customHeight="1" x14ac:dyDescent="0.25">
      <c r="A165" s="232" t="s">
        <v>1143</v>
      </c>
      <c r="B165" s="250">
        <v>0.52</v>
      </c>
      <c r="C165" s="219"/>
      <c r="D165" s="256">
        <f>A153</f>
        <v>2026</v>
      </c>
      <c r="E165" s="238">
        <f>B101</f>
        <v>0.8</v>
      </c>
      <c r="F165" s="239">
        <f>B153</f>
        <v>0.04</v>
      </c>
      <c r="M165" s="234" t="s">
        <v>1144</v>
      </c>
    </row>
    <row r="166" spans="1:13" customFormat="1" ht="15" customHeight="1" x14ac:dyDescent="0.25">
      <c r="A166" s="219"/>
      <c r="B166" s="111"/>
      <c r="C166" s="219"/>
      <c r="D166" s="256">
        <f>A154</f>
        <v>2027</v>
      </c>
      <c r="E166" s="238">
        <f>B102</f>
        <v>0.8</v>
      </c>
      <c r="F166" s="239">
        <f>B154</f>
        <v>0.04</v>
      </c>
    </row>
    <row r="167" spans="1:13" customFormat="1" ht="15" customHeight="1" x14ac:dyDescent="0.25">
      <c r="A167" s="219" t="s">
        <v>1145</v>
      </c>
      <c r="B167" s="250">
        <v>0.3</v>
      </c>
      <c r="C167" s="219"/>
      <c r="D167" s="256"/>
      <c r="E167" s="238"/>
      <c r="F167" s="239"/>
      <c r="M167" s="234" t="s">
        <v>1146</v>
      </c>
    </row>
    <row r="168" spans="1:13" x14ac:dyDescent="0.2">
      <c r="H168" s="232" t="s">
        <v>229</v>
      </c>
      <c r="J168" s="232" t="s">
        <v>1147</v>
      </c>
    </row>
    <row r="169" spans="1:13" x14ac:dyDescent="0.2">
      <c r="A169" s="68"/>
      <c r="B169" s="68"/>
      <c r="C169" s="49" t="s">
        <v>66</v>
      </c>
      <c r="D169" s="49" t="s">
        <v>113</v>
      </c>
      <c r="E169" s="49" t="s">
        <v>70</v>
      </c>
      <c r="F169" s="49" t="s">
        <v>1148</v>
      </c>
      <c r="G169" s="49" t="s">
        <v>1149</v>
      </c>
      <c r="H169" s="49" t="s">
        <v>1150</v>
      </c>
      <c r="I169" s="49" t="s">
        <v>70</v>
      </c>
      <c r="J169" s="50" t="s">
        <v>1151</v>
      </c>
      <c r="K169" s="68"/>
    </row>
    <row r="170" spans="1:13" customFormat="1" ht="15" customHeight="1" x14ac:dyDescent="0.25">
      <c r="A170" s="219" t="s">
        <v>1152</v>
      </c>
      <c r="B170" s="202">
        <f>IF(Skötselplan!C$9&gt;0,Skötselplan!C$9,"")</f>
        <v>2024</v>
      </c>
      <c r="C170" s="239">
        <f>B136</f>
        <v>0.26668003549248126</v>
      </c>
      <c r="D170" s="239">
        <f>B137</f>
        <v>0.52181628346361264</v>
      </c>
      <c r="E170" s="239">
        <f>B138</f>
        <v>0.2115036810439061</v>
      </c>
      <c r="F170" s="170">
        <f>(B163/1000)*B164</f>
        <v>23.721600000000002</v>
      </c>
      <c r="G170" s="220">
        <f t="shared" ref="G170:G176" si="0">IF(F170&gt;0,F170/($B$163/1000),"")</f>
        <v>1.6</v>
      </c>
      <c r="L170" s="219"/>
      <c r="M170" s="219"/>
    </row>
    <row r="171" spans="1:13" customFormat="1" ht="15" customHeight="1" x14ac:dyDescent="0.25">
      <c r="A171" s="219" t="s">
        <v>1147</v>
      </c>
      <c r="B171" s="202">
        <f>IF(Skötselplan!C$9&gt;0,Skötselplan!C$9,"")</f>
        <v>2024</v>
      </c>
      <c r="C171" s="170">
        <f>$F$170*C170</f>
        <v>6.3260771299384437</v>
      </c>
      <c r="D171" s="170">
        <f>$F$170*D170</f>
        <v>12.378317149810435</v>
      </c>
      <c r="E171" s="170">
        <f>$F$170*E170</f>
        <v>5.0172057202511233</v>
      </c>
      <c r="F171" s="170">
        <f t="shared" ref="F171:F176" si="1">SUM(C171:E171)</f>
        <v>23.721600000000002</v>
      </c>
      <c r="G171" s="258">
        <f t="shared" si="0"/>
        <v>1.6</v>
      </c>
      <c r="H171" s="219"/>
      <c r="I171" s="219"/>
      <c r="J171" s="259">
        <f>IF(F171&gt;0,C171/(C171+D171),"")</f>
        <v>0.33821341847929526</v>
      </c>
      <c r="K171" s="219"/>
      <c r="L171" s="219"/>
      <c r="M171" s="219"/>
    </row>
    <row r="172" spans="1:13" customFormat="1" ht="15" customHeight="1" x14ac:dyDescent="0.25">
      <c r="A172" s="219" t="s">
        <v>1153</v>
      </c>
      <c r="B172" s="202">
        <f>IF(Skötselplan!C$9&gt;0,Skötselplan!C$9,"")</f>
        <v>2024</v>
      </c>
      <c r="C172" s="168">
        <f>$B$165*$E171</f>
        <v>2.6089469745305842</v>
      </c>
      <c r="D172" s="168">
        <f>(1-$B$165)*$E171</f>
        <v>2.4082587457205391</v>
      </c>
      <c r="E172" s="168">
        <f>((D171+D172)*E$163)+(B$167*E173)</f>
        <v>11.82926071642478</v>
      </c>
      <c r="F172" s="170">
        <f t="shared" si="1"/>
        <v>16.846466436675904</v>
      </c>
      <c r="G172" s="220">
        <f t="shared" si="0"/>
        <v>1.1362785941370499</v>
      </c>
      <c r="J172" s="219"/>
      <c r="L172" s="219"/>
      <c r="M172" s="219"/>
    </row>
    <row r="173" spans="1:13" customFormat="1" ht="15" customHeight="1" x14ac:dyDescent="0.25">
      <c r="A173" s="219" t="s">
        <v>1154</v>
      </c>
      <c r="B173" s="202">
        <f>IF(Skötselplan!C$9&gt;0,Skötselplan!C$9,"")</f>
        <v>2024</v>
      </c>
      <c r="C173" s="168">
        <f>IF(Skötselplan!$F$301="",0,Skötselplan!$D$301/2)</f>
        <v>0</v>
      </c>
      <c r="D173" s="168">
        <f>IF(Skötselplan!$F$301="",0,Skötselplan!$D$301/2)</f>
        <v>0</v>
      </c>
      <c r="E173" s="168">
        <f>IF(Skötselplan!$E$301="",0,Skötselplan!$E$301)</f>
        <v>0</v>
      </c>
      <c r="F173" s="170">
        <f t="shared" si="1"/>
        <v>0</v>
      </c>
      <c r="G173" s="220" t="str">
        <f t="shared" si="0"/>
        <v/>
      </c>
      <c r="J173" s="219"/>
      <c r="L173" s="219"/>
      <c r="M173" s="219"/>
    </row>
    <row r="174" spans="1:13" customFormat="1" ht="15" customHeight="1" x14ac:dyDescent="0.25">
      <c r="A174" s="219" t="s">
        <v>1155</v>
      </c>
      <c r="B174" s="202">
        <f>IF(Skötselplan!C$9&gt;0,Skötselplan!C$9,"")</f>
        <v>2024</v>
      </c>
      <c r="C174" s="168">
        <f>$B151*C171</f>
        <v>0.25304308519753776</v>
      </c>
      <c r="D174" s="168">
        <f>$B151*D171</f>
        <v>0.49513268599241744</v>
      </c>
      <c r="E174" s="168">
        <f>$B151*E171</f>
        <v>0.20068822881004494</v>
      </c>
      <c r="F174" s="170">
        <f t="shared" si="1"/>
        <v>0.94886400000000015</v>
      </c>
      <c r="G174" s="220">
        <f t="shared" si="0"/>
        <v>6.4000000000000001E-2</v>
      </c>
      <c r="J174" s="219"/>
      <c r="L174" s="219"/>
      <c r="M174" s="219"/>
    </row>
    <row r="175" spans="1:13" customFormat="1" ht="15" customHeight="1" x14ac:dyDescent="0.25">
      <c r="A175" s="219" t="s">
        <v>1112</v>
      </c>
      <c r="B175" s="202">
        <f>IF(Skötselplan!C$9&gt;0,Skötselplan!C$9,"")</f>
        <v>2024</v>
      </c>
      <c r="C175" s="170">
        <f>C171+C172-C173-C174</f>
        <v>8.6819810192714897</v>
      </c>
      <c r="D175" s="170">
        <f>D171+D172-D174</f>
        <v>14.291443209538556</v>
      </c>
      <c r="E175" s="170">
        <f>E172-E173-E174</f>
        <v>11.628572487614736</v>
      </c>
      <c r="F175" s="170">
        <f t="shared" si="1"/>
        <v>34.601996716424779</v>
      </c>
      <c r="G175" s="220">
        <f t="shared" si="0"/>
        <v>2.3338727044668</v>
      </c>
      <c r="H175" s="219"/>
      <c r="I175" s="219"/>
      <c r="J175" s="219"/>
      <c r="K175" s="219"/>
      <c r="L175" s="219"/>
      <c r="M175" s="219"/>
    </row>
    <row r="176" spans="1:13" customFormat="1" ht="15" customHeight="1" x14ac:dyDescent="0.25">
      <c r="A176" s="219" t="s">
        <v>1113</v>
      </c>
      <c r="B176" s="202">
        <f>IF(Skötselplan!C$9&gt;0,Skötselplan!C$9,"")</f>
        <v>2024</v>
      </c>
      <c r="C176" s="260">
        <f>Skötselplan!B330</f>
        <v>1</v>
      </c>
      <c r="D176" s="260">
        <f>Skötselplan!B331</f>
        <v>0</v>
      </c>
      <c r="E176" s="260">
        <f>Skötselplan!B332</f>
        <v>5</v>
      </c>
      <c r="F176" s="170">
        <f t="shared" si="1"/>
        <v>6</v>
      </c>
      <c r="G176" s="220">
        <f t="shared" si="0"/>
        <v>0.40469445568595708</v>
      </c>
      <c r="H176" s="237">
        <f>IF((C176+D176)&gt;0,C176/(C176+D176),"")</f>
        <v>1</v>
      </c>
      <c r="I176" s="237">
        <f>IF(E176&gt;0,E176/F176,"")</f>
        <v>0.83333333333333337</v>
      </c>
      <c r="J176" s="237"/>
      <c r="K176" s="237"/>
      <c r="L176" s="237"/>
      <c r="M176" s="242" t="str">
        <f>Skötselplan!A327</f>
        <v xml:space="preserve">4.1 Avskjutning för älgskötselområdet </v>
      </c>
    </row>
    <row r="177" spans="1:13" customFormat="1" ht="15" customHeight="1" x14ac:dyDescent="0.25">
      <c r="A177" s="219" t="s">
        <v>1152</v>
      </c>
      <c r="B177" s="202">
        <f>IF(Skötselplan!C$9&gt;0,Skötselplan!C$9+1,"")</f>
        <v>2025</v>
      </c>
      <c r="C177" s="143">
        <f>IF(C176&gt;0,C178/$F178,"")</f>
        <v>0.26858198381863629</v>
      </c>
      <c r="D177" s="143" t="str">
        <f>IF(D176&gt;0,D178/$F178,"")</f>
        <v/>
      </c>
      <c r="E177" s="143">
        <f>IF(E176&gt;0,E178/$F178,"")</f>
        <v>0.23175208896546229</v>
      </c>
      <c r="F177" s="170"/>
      <c r="G177" s="220"/>
      <c r="J177" s="219"/>
      <c r="L177" s="219"/>
      <c r="M177" s="219"/>
    </row>
    <row r="178" spans="1:13" customFormat="1" ht="15" customHeight="1" x14ac:dyDescent="0.25">
      <c r="A178" s="219" t="s">
        <v>1147</v>
      </c>
      <c r="B178" s="202">
        <f>IF(Skötselplan!C$9&gt;0,Skötselplan!C$9+1,"")</f>
        <v>2025</v>
      </c>
      <c r="C178" s="170">
        <f>C175-C176</f>
        <v>7.6819810192714897</v>
      </c>
      <c r="D178" s="170">
        <f>D175-D176</f>
        <v>14.291443209538556</v>
      </c>
      <c r="E178" s="170">
        <f>E175-E176</f>
        <v>6.6285724876147363</v>
      </c>
      <c r="F178" s="170">
        <f t="shared" ref="F178:F183" si="2">SUM(C178:E178)</f>
        <v>28.601996716424782</v>
      </c>
      <c r="G178" s="258">
        <f t="shared" ref="G178:G183" si="3">IF(F178&gt;0,F178/($B$163/1000),"")</f>
        <v>1.9291782487808431</v>
      </c>
      <c r="H178" s="219"/>
      <c r="I178" s="219"/>
      <c r="J178" s="259">
        <f>IF(F178&gt;0,C178/(C178+D178),"")</f>
        <v>0.34960327253862433</v>
      </c>
      <c r="K178" s="219"/>
      <c r="L178" s="219"/>
      <c r="M178" s="219"/>
    </row>
    <row r="179" spans="1:13" customFormat="1" ht="15" customHeight="1" x14ac:dyDescent="0.25">
      <c r="A179" s="219" t="s">
        <v>1153</v>
      </c>
      <c r="B179" s="202">
        <f>IF(Skötselplan!C$9&gt;0,Skötselplan!C$9+1,"")</f>
        <v>2025</v>
      </c>
      <c r="C179" s="168">
        <f>$B$165*$E178</f>
        <v>3.4468576935596631</v>
      </c>
      <c r="D179" s="168">
        <f>(1-$B$165)*$E178</f>
        <v>3.1817147940550732</v>
      </c>
      <c r="E179" s="168">
        <f>((D178+D179)*E$164)+(B$167*E180)</f>
        <v>13.978526402874904</v>
      </c>
      <c r="F179" s="170">
        <f t="shared" si="2"/>
        <v>20.607098890489638</v>
      </c>
      <c r="G179" s="220">
        <f t="shared" si="3"/>
        <v>1.3899297781255657</v>
      </c>
      <c r="J179" s="219"/>
      <c r="L179" s="219"/>
      <c r="M179" s="219"/>
    </row>
    <row r="180" spans="1:13" customFormat="1" ht="15" customHeight="1" x14ac:dyDescent="0.25">
      <c r="A180" s="219" t="s">
        <v>1154</v>
      </c>
      <c r="B180" s="202">
        <f>IF(Skötselplan!C$9&gt;0,Skötselplan!C$9+1,"")</f>
        <v>2025</v>
      </c>
      <c r="C180" s="168">
        <f>IF(Skötselplan!$F$301="",0,Skötselplan!$D$301/2)</f>
        <v>0</v>
      </c>
      <c r="D180" s="168">
        <f>IF(Skötselplan!$F$301="",0,Skötselplan!$D$301/2)</f>
        <v>0</v>
      </c>
      <c r="E180" s="168">
        <f>IF(Skötselplan!$E$301="",0,Skötselplan!$E$301)</f>
        <v>0</v>
      </c>
      <c r="F180" s="170">
        <f t="shared" si="2"/>
        <v>0</v>
      </c>
      <c r="G180" s="220" t="str">
        <f t="shared" si="3"/>
        <v/>
      </c>
      <c r="J180" s="219"/>
      <c r="L180" s="219"/>
      <c r="M180" s="219"/>
    </row>
    <row r="181" spans="1:13" customFormat="1" ht="15" customHeight="1" x14ac:dyDescent="0.25">
      <c r="A181" s="219" t="s">
        <v>1155</v>
      </c>
      <c r="B181" s="202">
        <f>IF(Skötselplan!C$9&gt;0,Skötselplan!C$9+1,"")</f>
        <v>2025</v>
      </c>
      <c r="C181" s="168">
        <f>$B152*C178</f>
        <v>0.30727924077085961</v>
      </c>
      <c r="D181" s="168">
        <f>$B152*D178</f>
        <v>0.57165772838154227</v>
      </c>
      <c r="E181" s="168">
        <f>$B152*E178</f>
        <v>0.26514289950458947</v>
      </c>
      <c r="F181" s="170">
        <f t="shared" si="2"/>
        <v>1.1440798686569913</v>
      </c>
      <c r="G181" s="220">
        <f t="shared" si="3"/>
        <v>7.7167129951233732E-2</v>
      </c>
      <c r="J181" s="219"/>
      <c r="L181" s="219"/>
      <c r="M181" s="219"/>
    </row>
    <row r="182" spans="1:13" customFormat="1" ht="15" customHeight="1" x14ac:dyDescent="0.25">
      <c r="A182" s="219" t="s">
        <v>1112</v>
      </c>
      <c r="B182" s="202">
        <f>IF(Skötselplan!C$9&gt;0,Skötselplan!C$9+1,"")</f>
        <v>2025</v>
      </c>
      <c r="C182" s="170">
        <f>C178+C179-C180-C181</f>
        <v>10.821559472060292</v>
      </c>
      <c r="D182" s="170">
        <f>D178+D179-D181</f>
        <v>16.901500275212086</v>
      </c>
      <c r="E182" s="170">
        <f>E179-E180-E181</f>
        <v>13.713383503370315</v>
      </c>
      <c r="F182" s="170">
        <f t="shared" si="2"/>
        <v>41.436443250642697</v>
      </c>
      <c r="G182" s="220">
        <f t="shared" si="3"/>
        <v>2.7948498078134829</v>
      </c>
      <c r="H182" s="219"/>
      <c r="I182" s="219"/>
      <c r="J182" s="219"/>
      <c r="K182" s="219"/>
      <c r="L182" s="219"/>
      <c r="M182" s="219"/>
    </row>
    <row r="183" spans="1:13" customFormat="1" ht="15" customHeight="1" x14ac:dyDescent="0.25">
      <c r="A183" s="219" t="s">
        <v>1113</v>
      </c>
      <c r="B183" s="202">
        <f>IF(Skötselplan!C$9&gt;0,Skötselplan!C$9+1,"")</f>
        <v>2025</v>
      </c>
      <c r="C183" s="260">
        <f>Skötselplan!C330</f>
        <v>0</v>
      </c>
      <c r="D183" s="260">
        <f>Skötselplan!C331</f>
        <v>0</v>
      </c>
      <c r="E183" s="260">
        <f>Skötselplan!C332</f>
        <v>0</v>
      </c>
      <c r="F183" s="170">
        <f t="shared" si="2"/>
        <v>0</v>
      </c>
      <c r="G183" s="220" t="str">
        <f t="shared" si="3"/>
        <v/>
      </c>
      <c r="H183" s="237" t="str">
        <f>IF((C183+D183)&gt;0,C183/(C183+D183),"")</f>
        <v/>
      </c>
      <c r="I183" s="237" t="str">
        <f>IF(E183&gt;0,E183/F183,"")</f>
        <v/>
      </c>
      <c r="J183" s="237"/>
      <c r="K183" s="237"/>
      <c r="L183" s="237"/>
      <c r="M183" s="242" t="str">
        <f>Skötselplan!A327</f>
        <v xml:space="preserve">4.1 Avskjutning för älgskötselområdet </v>
      </c>
    </row>
    <row r="184" spans="1:13" customFormat="1" ht="15" customHeight="1" x14ac:dyDescent="0.25">
      <c r="A184" s="219" t="s">
        <v>1152</v>
      </c>
      <c r="B184" s="202">
        <f>IF(Skötselplan!C$9&gt;0,Skötselplan!C$9+2,"")</f>
        <v>2026</v>
      </c>
      <c r="C184" s="143" t="str">
        <f>IF(C183&gt;0,C185/$F185,"")</f>
        <v/>
      </c>
      <c r="D184" s="143" t="str">
        <f>IF(D183&gt;0,D185/$F185,"")</f>
        <v/>
      </c>
      <c r="E184" s="143" t="str">
        <f>IF(E183&gt;0,E185/$F185,"")</f>
        <v/>
      </c>
      <c r="F184" s="170"/>
      <c r="G184" s="220"/>
      <c r="J184" s="219"/>
      <c r="L184" s="219"/>
      <c r="M184" s="219"/>
    </row>
    <row r="185" spans="1:13" customFormat="1" ht="15" customHeight="1" x14ac:dyDescent="0.25">
      <c r="A185" s="219" t="s">
        <v>1147</v>
      </c>
      <c r="B185" s="202">
        <f>IF(Skötselplan!C$9&gt;0,Skötselplan!C$9+2,"")</f>
        <v>2026</v>
      </c>
      <c r="C185" s="170">
        <f>C182-C183</f>
        <v>10.821559472060292</v>
      </c>
      <c r="D185" s="170">
        <f>D182-D183</f>
        <v>16.901500275212086</v>
      </c>
      <c r="E185" s="170">
        <f>E182-E183</f>
        <v>13.713383503370315</v>
      </c>
      <c r="F185" s="170">
        <f t="shared" ref="F185:F190" si="4">SUM(C185:E185)</f>
        <v>41.436443250642697</v>
      </c>
      <c r="G185" s="258">
        <f t="shared" ref="G185:G190" si="5">IF(F185&gt;0,F185/($B$163/1000),"")</f>
        <v>2.7948498078134829</v>
      </c>
      <c r="H185" s="219"/>
      <c r="I185" s="219"/>
      <c r="J185" s="259">
        <f>IF(F185&gt;0,C185/(C185+D185),"")</f>
        <v>0.39034506186226448</v>
      </c>
      <c r="K185" s="219"/>
      <c r="L185" s="219"/>
      <c r="M185" s="219"/>
    </row>
    <row r="186" spans="1:13" customFormat="1" ht="15" customHeight="1" x14ac:dyDescent="0.25">
      <c r="A186" s="219" t="s">
        <v>1153</v>
      </c>
      <c r="B186" s="202">
        <f>IF(Skötselplan!C$9&gt;0,Skötselplan!C$9+2,"")</f>
        <v>2026</v>
      </c>
      <c r="C186" s="168">
        <f>$B$165*$E185</f>
        <v>7.1309594217525643</v>
      </c>
      <c r="D186" s="168">
        <f>(1-$B$165)*$E185</f>
        <v>6.5824240816177504</v>
      </c>
      <c r="E186" s="168">
        <f>((D185+D186)*E$165)+(B$167*E187)</f>
        <v>18.787139485463872</v>
      </c>
      <c r="F186" s="170">
        <f t="shared" si="4"/>
        <v>32.500522988834184</v>
      </c>
      <c r="G186" s="220">
        <f t="shared" si="5"/>
        <v>2.1921302434125307</v>
      </c>
      <c r="J186" s="219"/>
      <c r="L186" s="219"/>
      <c r="M186" s="219"/>
    </row>
    <row r="187" spans="1:13" customFormat="1" ht="15" customHeight="1" x14ac:dyDescent="0.25">
      <c r="A187" s="219" t="s">
        <v>1154</v>
      </c>
      <c r="B187" s="202">
        <f>IF(Skötselplan!C$9&gt;0,Skötselplan!C$9+2,"")</f>
        <v>2026</v>
      </c>
      <c r="C187" s="168">
        <f>IF(Skötselplan!$F$301="",0,Skötselplan!$D$301/2)</f>
        <v>0</v>
      </c>
      <c r="D187" s="168">
        <f>IF(Skötselplan!$F$301="",0,Skötselplan!$D$301/2)</f>
        <v>0</v>
      </c>
      <c r="E187" s="168">
        <f>IF(Skötselplan!$E$301="",0,Skötselplan!$E$301)</f>
        <v>0</v>
      </c>
      <c r="F187" s="170">
        <f t="shared" si="4"/>
        <v>0</v>
      </c>
      <c r="G187" s="220" t="str">
        <f t="shared" si="5"/>
        <v/>
      </c>
      <c r="J187" s="219"/>
      <c r="L187" s="219"/>
      <c r="M187" s="219"/>
    </row>
    <row r="188" spans="1:13" customFormat="1" ht="15" customHeight="1" x14ac:dyDescent="0.25">
      <c r="A188" s="219" t="s">
        <v>1155</v>
      </c>
      <c r="B188" s="202">
        <f>IF(Skötselplan!C$9&gt;0,Skötselplan!C$9+2,"")</f>
        <v>2026</v>
      </c>
      <c r="C188" s="168">
        <f>$B153*C185</f>
        <v>0.43286237888241169</v>
      </c>
      <c r="D188" s="168">
        <f>$B153*D185</f>
        <v>0.67606001100848345</v>
      </c>
      <c r="E188" s="168">
        <f>$B153*E185</f>
        <v>0.54853534013481264</v>
      </c>
      <c r="F188" s="170">
        <f t="shared" si="4"/>
        <v>1.6574577300257078</v>
      </c>
      <c r="G188" s="220">
        <f t="shared" si="5"/>
        <v>0.11179399231253931</v>
      </c>
      <c r="J188" s="219"/>
      <c r="L188" s="219"/>
      <c r="M188" s="219"/>
    </row>
    <row r="189" spans="1:13" customFormat="1" ht="15" customHeight="1" x14ac:dyDescent="0.25">
      <c r="A189" s="219" t="s">
        <v>1112</v>
      </c>
      <c r="B189" s="202">
        <f>IF(Skötselplan!C$9&gt;0,Skötselplan!C$9+2,"")</f>
        <v>2026</v>
      </c>
      <c r="C189" s="170">
        <f>C185+C186-C187-C188</f>
        <v>17.519656514930446</v>
      </c>
      <c r="D189" s="170">
        <f>D185+D186-D188</f>
        <v>22.807864345821354</v>
      </c>
      <c r="E189" s="170">
        <f>E186-E187-E188</f>
        <v>18.238604145329059</v>
      </c>
      <c r="F189" s="170">
        <f t="shared" si="4"/>
        <v>58.566125006080867</v>
      </c>
      <c r="G189" s="220">
        <f t="shared" si="5"/>
        <v>3.9502310134952694</v>
      </c>
      <c r="H189" s="219"/>
      <c r="I189" s="219"/>
      <c r="J189" s="219"/>
      <c r="K189" s="219"/>
      <c r="L189" s="219"/>
      <c r="M189" s="219"/>
    </row>
    <row r="190" spans="1:13" customFormat="1" ht="15" customHeight="1" x14ac:dyDescent="0.25">
      <c r="A190" s="219" t="s">
        <v>1113</v>
      </c>
      <c r="B190" s="202">
        <f>IF(Skötselplan!C$9&gt;0,Skötselplan!C$9+2,"")</f>
        <v>2026</v>
      </c>
      <c r="C190" s="260">
        <f>Skötselplan!D330</f>
        <v>0</v>
      </c>
      <c r="D190" s="260">
        <f>Skötselplan!D331</f>
        <v>0</v>
      </c>
      <c r="E190" s="260">
        <f>Skötselplan!D332</f>
        <v>0</v>
      </c>
      <c r="F190" s="170">
        <f t="shared" si="4"/>
        <v>0</v>
      </c>
      <c r="G190" s="220" t="str">
        <f t="shared" si="5"/>
        <v/>
      </c>
      <c r="H190" s="237" t="str">
        <f>IF((C190+D190)&gt;0,C190/(C190+D190),"")</f>
        <v/>
      </c>
      <c r="I190" s="237" t="str">
        <f>IF(E190&gt;0,E190/F190,"")</f>
        <v/>
      </c>
      <c r="J190" s="237"/>
      <c r="K190" s="237"/>
      <c r="L190" s="237"/>
      <c r="M190" s="242" t="str">
        <f>Skötselplan!A327</f>
        <v xml:space="preserve">4.1 Avskjutning för älgskötselområdet </v>
      </c>
    </row>
    <row r="191" spans="1:13" customFormat="1" ht="15" customHeight="1" x14ac:dyDescent="0.25">
      <c r="A191" s="219" t="s">
        <v>1152</v>
      </c>
      <c r="B191" s="202">
        <f>IF(Skötselplan!C$9&gt;0,Skötselplan!C$9+3,"")</f>
        <v>2027</v>
      </c>
      <c r="C191" s="143" t="str">
        <f>IF(C190&gt;0,C192/$F192,"")</f>
        <v/>
      </c>
      <c r="D191" s="143" t="str">
        <f>IF(D190&gt;0,D192/$F192,"")</f>
        <v/>
      </c>
      <c r="E191" s="143" t="str">
        <f>IF(E190&gt;0,E192/$F192,"")</f>
        <v/>
      </c>
      <c r="F191" s="170"/>
      <c r="G191" s="220"/>
      <c r="J191" s="219"/>
      <c r="L191" s="219"/>
      <c r="M191" s="219"/>
    </row>
    <row r="192" spans="1:13" customFormat="1" ht="15" customHeight="1" x14ac:dyDescent="0.25">
      <c r="A192" s="219" t="s">
        <v>1147</v>
      </c>
      <c r="B192" s="202">
        <f>IF(Skötselplan!C$9&gt;0,Skötselplan!C$9+3,"")</f>
        <v>2027</v>
      </c>
      <c r="C192" s="170">
        <f>C189-C190</f>
        <v>17.519656514930446</v>
      </c>
      <c r="D192" s="170">
        <f>D189-D190</f>
        <v>22.807864345821354</v>
      </c>
      <c r="E192" s="170">
        <f>E189-E190</f>
        <v>18.238604145329059</v>
      </c>
      <c r="F192" s="170">
        <f>SUM(C192:E192)</f>
        <v>58.566125006080867</v>
      </c>
      <c r="G192" s="258">
        <f>IF(F192&gt;0,F192/($B$163/1000),"")</f>
        <v>3.9502310134952694</v>
      </c>
      <c r="H192" s="219"/>
      <c r="I192" s="219"/>
      <c r="J192" s="259">
        <f>IF(F192&gt;0,C192/(C192+D192),"")</f>
        <v>0.43443425583795819</v>
      </c>
      <c r="K192" s="219"/>
      <c r="L192" s="219"/>
      <c r="M192" s="219"/>
    </row>
    <row r="193" spans="1:13" customFormat="1" ht="15" customHeight="1" x14ac:dyDescent="0.25">
      <c r="A193" s="219" t="s">
        <v>1153</v>
      </c>
      <c r="B193" s="202">
        <f>IF(Skötselplan!C$9&gt;0,Skötselplan!C$9+3,"")</f>
        <v>2027</v>
      </c>
      <c r="C193" s="168">
        <f>$B$165*$E192</f>
        <v>9.4840741555711112</v>
      </c>
      <c r="D193" s="168">
        <f>(1-$B$165)*$E192</f>
        <v>8.7545299897579483</v>
      </c>
      <c r="E193" s="168">
        <f>((D192+D193)*E$166)+(B$167*E194)</f>
        <v>25.249915468463442</v>
      </c>
      <c r="F193" s="170">
        <f>SUM(C193:E193)</f>
        <v>43.488519613792505</v>
      </c>
      <c r="G193" s="220">
        <f>IF(F193&gt;0,F193/($B$163/1000),"")</f>
        <v>2.9332604622819711</v>
      </c>
      <c r="J193" s="219"/>
      <c r="L193" s="219"/>
      <c r="M193" s="219"/>
    </row>
    <row r="194" spans="1:13" customFormat="1" ht="15" customHeight="1" x14ac:dyDescent="0.25">
      <c r="A194" s="219" t="s">
        <v>1154</v>
      </c>
      <c r="B194" s="202">
        <f>IF(Skötselplan!C$9&gt;0,Skötselplan!C$9+3,"")</f>
        <v>2027</v>
      </c>
      <c r="C194" s="168">
        <f>IF(Skötselplan!$F$301="",0,Skötselplan!$D$301/2)</f>
        <v>0</v>
      </c>
      <c r="D194" s="168">
        <f>IF(Skötselplan!$F$301="",0,Skötselplan!$D$301/2)</f>
        <v>0</v>
      </c>
      <c r="E194" s="168">
        <f>IF(Skötselplan!$E$301="",0,Skötselplan!$E$301)</f>
        <v>0</v>
      </c>
      <c r="F194" s="170">
        <f>SUM(C194:E194)</f>
        <v>0</v>
      </c>
      <c r="G194" s="220" t="str">
        <f>IF(F194&gt;0,F194/($B$163/1000),"")</f>
        <v/>
      </c>
      <c r="J194" s="219"/>
      <c r="L194" s="219"/>
      <c r="M194" s="219"/>
    </row>
    <row r="195" spans="1:13" customFormat="1" ht="15" customHeight="1" x14ac:dyDescent="0.25">
      <c r="A195" s="219" t="s">
        <v>1155</v>
      </c>
      <c r="B195" s="202">
        <f>IF(Skötselplan!C$9&gt;0,Skötselplan!C$9+3,"")</f>
        <v>2027</v>
      </c>
      <c r="C195" s="168">
        <f>$B154*C192</f>
        <v>0.70078626059721782</v>
      </c>
      <c r="D195" s="168">
        <f>$B154*D192</f>
        <v>0.91231457383285419</v>
      </c>
      <c r="E195" s="168">
        <f>$B154*E192</f>
        <v>0.72954416581316239</v>
      </c>
      <c r="F195" s="170">
        <f>SUM(C195:E195)</f>
        <v>2.3426450002432344</v>
      </c>
      <c r="G195" s="220">
        <f>IF(F195&gt;0,F195/($B$163/1000),"")</f>
        <v>0.15800924053981075</v>
      </c>
      <c r="L195" s="219"/>
      <c r="M195" s="219"/>
    </row>
    <row r="196" spans="1:13" customFormat="1" ht="15" customHeight="1" x14ac:dyDescent="0.25">
      <c r="A196" s="219" t="s">
        <v>1112</v>
      </c>
      <c r="B196" s="202">
        <f>IF(Skötselplan!C$9&gt;0,Skötselplan!C$9+3,"")</f>
        <v>2027</v>
      </c>
      <c r="C196" s="170">
        <f>C192+C193-C194-C195</f>
        <v>26.302944409904338</v>
      </c>
      <c r="D196" s="170">
        <f>D192+D193-D195</f>
        <v>30.650079761746447</v>
      </c>
      <c r="E196" s="170">
        <f>E193-E194-E195</f>
        <v>24.520371302650279</v>
      </c>
      <c r="F196" s="170">
        <f>SUM(C196:E196)</f>
        <v>81.473395474301057</v>
      </c>
      <c r="G196" s="220">
        <f>IF(F196&gt;0,F196/($B$163/1000),"")</f>
        <v>5.4953052390598307</v>
      </c>
      <c r="H196" s="219"/>
      <c r="I196" s="219"/>
      <c r="J196" s="219"/>
      <c r="K196" s="219"/>
      <c r="L196" s="219"/>
      <c r="M196" s="219"/>
    </row>
    <row r="199" spans="1:13" x14ac:dyDescent="0.2">
      <c r="A199" s="261"/>
      <c r="B199" s="261"/>
      <c r="C199" s="261"/>
      <c r="D199" s="261"/>
      <c r="E199" s="261"/>
    </row>
    <row r="200" spans="1:13" x14ac:dyDescent="0.2">
      <c r="A200" s="262" t="s">
        <v>1156</v>
      </c>
      <c r="B200" s="261"/>
      <c r="C200" s="261"/>
      <c r="D200" s="261"/>
      <c r="E200" s="261"/>
    </row>
    <row r="201" spans="1:13" x14ac:dyDescent="0.2">
      <c r="A201" s="262" t="s">
        <v>1147</v>
      </c>
      <c r="B201" s="261" t="s">
        <v>66</v>
      </c>
      <c r="C201" s="261" t="s">
        <v>113</v>
      </c>
      <c r="D201" s="261" t="s">
        <v>70</v>
      </c>
      <c r="E201" s="261" t="s">
        <v>204</v>
      </c>
    </row>
    <row r="202" spans="1:13" x14ac:dyDescent="0.2">
      <c r="A202" s="261">
        <f>B171</f>
        <v>2024</v>
      </c>
      <c r="B202" s="263">
        <f>+C171</f>
        <v>6.3260771299384437</v>
      </c>
      <c r="C202" s="263">
        <f>+D171</f>
        <v>12.378317149810435</v>
      </c>
      <c r="D202" s="263">
        <f>+E171</f>
        <v>5.0172057202511233</v>
      </c>
      <c r="E202" s="263">
        <f>SUM(B202:D202)</f>
        <v>23.721600000000002</v>
      </c>
    </row>
    <row r="203" spans="1:13" x14ac:dyDescent="0.2">
      <c r="A203" s="261">
        <f>B178</f>
        <v>2025</v>
      </c>
      <c r="B203" s="263">
        <f>+C178</f>
        <v>7.6819810192714897</v>
      </c>
      <c r="C203" s="263">
        <f>+D178</f>
        <v>14.291443209538556</v>
      </c>
      <c r="D203" s="263">
        <f>+E178</f>
        <v>6.6285724876147363</v>
      </c>
      <c r="E203" s="263">
        <f>SUM(B203:D203)</f>
        <v>28.601996716424782</v>
      </c>
    </row>
    <row r="204" spans="1:13" x14ac:dyDescent="0.2">
      <c r="A204" s="261">
        <f>B185</f>
        <v>2026</v>
      </c>
      <c r="B204" s="263">
        <f>+C185</f>
        <v>10.821559472060292</v>
      </c>
      <c r="C204" s="263">
        <f>+D185</f>
        <v>16.901500275212086</v>
      </c>
      <c r="D204" s="263">
        <f>+E185</f>
        <v>13.713383503370315</v>
      </c>
      <c r="E204" s="263">
        <f>SUM(B204:D204)</f>
        <v>41.436443250642697</v>
      </c>
    </row>
    <row r="205" spans="1:13" x14ac:dyDescent="0.2">
      <c r="A205" s="261">
        <f>B192</f>
        <v>2027</v>
      </c>
      <c r="B205" s="263">
        <f>+C192</f>
        <v>17.519656514930446</v>
      </c>
      <c r="C205" s="263">
        <f>+D192</f>
        <v>22.807864345821354</v>
      </c>
      <c r="D205" s="263">
        <f>+E192</f>
        <v>18.238604145329059</v>
      </c>
      <c r="E205" s="263">
        <f>SUM(B205:D205)</f>
        <v>58.566125006080867</v>
      </c>
    </row>
    <row r="206" spans="1:13" x14ac:dyDescent="0.2">
      <c r="A206" s="261"/>
      <c r="B206" s="261"/>
      <c r="C206" s="261"/>
      <c r="D206" s="261"/>
      <c r="E206" s="261"/>
    </row>
    <row r="207" spans="1:13" x14ac:dyDescent="0.2">
      <c r="A207" s="261" t="s">
        <v>333</v>
      </c>
      <c r="B207" s="263">
        <f>Skötselplan!B54</f>
        <v>7</v>
      </c>
      <c r="C207" s="263">
        <f>Skötselplan!B55</f>
        <v>15</v>
      </c>
      <c r="D207" s="263">
        <f>Skötselplan!B56</f>
        <v>3</v>
      </c>
      <c r="E207" s="263">
        <f>SUM(B207:D207)</f>
        <v>25</v>
      </c>
      <c r="M207" s="223" t="str">
        <f>Skötselplan!A46</f>
        <v xml:space="preserve">1.1 Mål för älgstammens utveckling inom älgskötselområdet </v>
      </c>
    </row>
    <row r="208" spans="1:13" x14ac:dyDescent="0.2">
      <c r="A208" s="261"/>
      <c r="B208" s="261"/>
      <c r="C208" s="261"/>
      <c r="D208" s="261"/>
      <c r="E208" s="261"/>
    </row>
    <row r="209" spans="1:5" x14ac:dyDescent="0.2">
      <c r="A209" s="261"/>
      <c r="B209" s="261"/>
      <c r="C209" s="261"/>
      <c r="D209" s="261"/>
      <c r="E209" s="261"/>
    </row>
    <row r="210" spans="1:5" x14ac:dyDescent="0.2">
      <c r="A210" s="261"/>
      <c r="B210" s="261"/>
      <c r="C210" s="261"/>
      <c r="D210" s="261"/>
      <c r="E210" s="261"/>
    </row>
  </sheetData>
  <mergeCells count="6">
    <mergeCell ref="A157:E157"/>
    <mergeCell ref="A1:D1"/>
    <mergeCell ref="A45:E45"/>
    <mergeCell ref="A78:E78"/>
    <mergeCell ref="A105:E105"/>
    <mergeCell ref="A142:E142"/>
  </mergeCells>
  <pageMargins left="0.25" right="0.25" top="0.75" bottom="0.75" header="0.3" footer="0.3"/>
  <pageSetup paperSize="9" scale="87" orientation="landscape" r:id="rId1"/>
  <headerFooter alignWithMargins="0">
    <oddHeader>&amp;C&amp;A</oddHeader>
    <oddFooter>&amp;L&amp;F</oddFooter>
  </headerFooter>
  <rowBreaks count="192" manualBreakCount="192">
    <brk id="24" max="10" man="1"/>
    <brk id="46" max="10" man="1"/>
    <brk id="80" max="10" man="1"/>
    <brk id="107" max="10" man="1"/>
    <brk id="142" max="10" man="1"/>
    <brk id="159" max="10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5"/>
  <dimension ref="A1"/>
  <sheetViews>
    <sheetView topLeftCell="A16" workbookViewId="0">
      <selection activeCell="A16" sqref="A16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51"/>
  <dimension ref="A1"/>
  <sheetViews>
    <sheetView workbookViewId="0">
      <selection activeCell="H45" sqref="H45 H45"/>
    </sheetView>
  </sheetViews>
  <sheetFormatPr defaultRowHeight="15" x14ac:dyDescent="0.25"/>
  <sheetData/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0D00AF300D2F4DB62EC6D435750673" ma:contentTypeVersion="7" ma:contentTypeDescription="Skapa ett nytt dokument." ma:contentTypeScope="" ma:versionID="186fe7b360351e0fbcb16fc62534399f">
  <xsd:schema xmlns:xsd="http://www.w3.org/2001/XMLSchema" xmlns:xs="http://www.w3.org/2001/XMLSchema" xmlns:p="http://schemas.microsoft.com/office/2006/metadata/properties" xmlns:ns1="http://schemas.microsoft.com/sharepoint/v3" xmlns:ns2="9c3cd45f-a385-4c2c-b6ea-620ebfa96eee" targetNamespace="http://schemas.microsoft.com/office/2006/metadata/properties" ma:root="true" ma:fieldsID="fcbce6d97d12b2279cb95b9d04d316f1" ns1:_="" ns2:_="">
    <xsd:import namespace="http://schemas.microsoft.com/sharepoint/v3"/>
    <xsd:import namespace="9c3cd45f-a385-4c2c-b6ea-620ebfa96ee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cd45f-a385-4c2c-b6ea-620ebfa96ee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erienummer xmlns="9c3cd45f-a385-4c2c-b6ea-620ebfa96eee" xsi:nil="true"/>
    <_x00c5_rtal xmlns="9c3cd45f-a385-4c2c-b6ea-620ebfa96eee" xsi:nil="true"/>
    <L_x00f6_pnummer xmlns="9c3cd45f-a385-4c2c-b6ea-620ebfa96eee" xsi:nil="true"/>
    <PublishingExpirationDate xmlns="http://schemas.microsoft.com/sharepoint/v3" xsi:nil="true"/>
    <F_x00f6_rfattare xmlns="9c3cd45f-a385-4c2c-b6ea-620ebfa96eee" xsi:nil="true"/>
    <PublishingStartDate xmlns="http://schemas.microsoft.com/sharepoint/v3" xsi:nil="true"/>
    <Verksamhet xmlns="9c3cd45f-a385-4c2c-b6ea-620ebfa96eee" xsi:nil="true"/>
    <Beskrivning xmlns="9c3cd45f-a385-4c2c-b6ea-620ebfa96eee" xsi:nil="true"/>
  </documentManagement>
</p:properties>
</file>

<file path=customXml/itemProps1.xml><?xml version="1.0" encoding="utf-8"?>
<ds:datastoreItem xmlns:ds="http://schemas.openxmlformats.org/officeDocument/2006/customXml" ds:itemID="{0393520E-7D9F-49AE-BE06-82CCBF02F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3cd45f-a385-4c2c-b6ea-620ebfa96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1BE9A-EF5C-4F99-BAF2-F336BB9A2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8AC26-2424-4CAA-B331-92B53B323556}">
  <ds:schemaRefs>
    <ds:schemaRef ds:uri="http://schemas.microsoft.com/office/2006/metadata/properties"/>
    <ds:schemaRef ds:uri="http://schemas.microsoft.com/office/2006/documentManagement/types"/>
    <ds:schemaRef ds:uri="1a975797-f638-4fd7-8eb3-752ed44b8d3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9c3cd45f-a385-4c2c-b6ea-620ebfa96ee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5</vt:i4>
      </vt:variant>
    </vt:vector>
  </HeadingPairs>
  <TitlesOfParts>
    <vt:vector size="19" baseType="lpstr">
      <vt:lpstr>Förutsättningar</vt:lpstr>
      <vt:lpstr>NFS 2011-7</vt:lpstr>
      <vt:lpstr>Ärendekort</vt:lpstr>
      <vt:lpstr>Skötselplan</vt:lpstr>
      <vt:lpstr>Faktorer</vt:lpstr>
      <vt:lpstr>Utdata</vt:lpstr>
      <vt:lpstr>Beräkning avskjutning</vt:lpstr>
      <vt:lpstr>SourceData</vt:lpstr>
      <vt:lpstr>2.1.1 Avskjutning</vt:lpstr>
      <vt:lpstr>2.1.2 Älgobs</vt:lpstr>
      <vt:lpstr>2.1.3 Spillningsinventering</vt:lpstr>
      <vt:lpstr>2.1.4 Kalvvikter</vt:lpstr>
      <vt:lpstr>2.2.1 Äbin</vt:lpstr>
      <vt:lpstr>Sammanst spillinv ÄFO</vt:lpstr>
      <vt:lpstr>Inventeringsobjekt</vt:lpstr>
      <vt:lpstr>Skogstillstånd</vt:lpstr>
      <vt:lpstr>'Beräkning avskjutning'!Utskriftsområde</vt:lpstr>
      <vt:lpstr>Skötselplan!Utskriftsområde</vt:lpstr>
      <vt:lpstr>Välj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Älgförvaltningsplan mall</dc:title>
  <dc:creator>Johan Frisk</dc:creator>
  <cp:lastModifiedBy>Karl-Gunnar Bergqvist</cp:lastModifiedBy>
  <cp:lastPrinted>2018-03-15T14:54:38Z</cp:lastPrinted>
  <dcterms:created xsi:type="dcterms:W3CDTF">2012-03-06T22:57:43Z</dcterms:created>
  <dcterms:modified xsi:type="dcterms:W3CDTF">2024-08-12T17:53:17Z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0x0101004A0D00AF300D2F4DB62EC6D435750673</vt:lpwstr>
  </property>
  <property fmtid="{D5CDD505-2E9C-101B-9397-08002B2CF9AE}" pid="3" name="Responsible">
    <vt:lpwstr/>
  </property>
</Properties>
</file>